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1010"/>
  <workbookPr defaultThemeVersion="166925"/>
  <bookViews>
    <workbookView xWindow="0" yWindow="460" windowWidth="38400" windowHeight="23540" activeTab="0"/>
  </bookViews>
  <sheets>
    <sheet name="Summary" sheetId="16" r:id="rId1"/>
    <sheet name="Assumptions" sheetId="1" r:id="rId2"/>
    <sheet name="Onshore Wind in ME On Time" sheetId="8" r:id="rId3"/>
    <sheet name="Onshore Wind in ME 7mo late" sheetId="2" r:id="rId4"/>
    <sheet name="Onshore Wind in ME 22mo late" sheetId="13" r:id="rId5"/>
    <sheet name="Battery in RoP On Time" sheetId="9" r:id="rId6"/>
    <sheet name="Battery in RoP 7mo late" sheetId="3" r:id="rId7"/>
    <sheet name="Battery in RoP 22mo late" sheetId="11" r:id="rId8"/>
    <sheet name="Small Battery in RoP 22mo late" sheetId="12" r:id="rId9"/>
    <sheet name="PV in NNE On Time" sheetId="7" r:id="rId10"/>
    <sheet name="PV in NNE 7mo late" sheetId="4" r:id="rId11"/>
    <sheet name="PV in NNE 22mo late" sheetId="5" r:id="rId12"/>
    <sheet name="Small PV in NNE 22mo late" sheetId="10" r:id="rId13"/>
    <sheet name="OSW in SENE On Time" sheetId="14" r:id="rId14"/>
    <sheet name="OSW in SENE 22mo late" sheetId="15" r:id="rId1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<sst xmlns="http://schemas.openxmlformats.org/spreadsheetml/2006/main" count="1253" uniqueCount="124">
  <si>
    <t>Assumptions</t>
  </si>
  <si>
    <t>Net CONE</t>
  </si>
  <si>
    <t>FCA 16 Pricing ($/kW-mo)</t>
  </si>
  <si>
    <t>ME, NNE Clearing Price</t>
  </si>
  <si>
    <t>RoP Clearing Price</t>
  </si>
  <si>
    <t>SENE Clearing Price</t>
  </si>
  <si>
    <t>Date</t>
  </si>
  <si>
    <t>Event</t>
  </si>
  <si>
    <t>Cumulative FA Obligation</t>
  </si>
  <si>
    <t>Incremental FA Obligation</t>
  </si>
  <si>
    <t>Forfeited FA</t>
  </si>
  <si>
    <t>Cumulative Forfeited FA</t>
  </si>
  <si>
    <t>Current Rules</t>
  </si>
  <si>
    <t>Proposed Rules</t>
  </si>
  <si>
    <t>FCM Deposit</t>
  </si>
  <si>
    <t>Base NCFA #1</t>
  </si>
  <si>
    <t>Clear in FCA 16</t>
  </si>
  <si>
    <t>Base NCFA #2</t>
  </si>
  <si>
    <t>Clear in FCA 17</t>
  </si>
  <si>
    <t>Base NCFA #3</t>
  </si>
  <si>
    <t>Clear in FCA 18</t>
  </si>
  <si>
    <t>Base NCFA #4</t>
  </si>
  <si>
    <t>Clear in FCA 19</t>
  </si>
  <si>
    <t>Start of CCP 16</t>
  </si>
  <si>
    <t>Delay FA #1</t>
  </si>
  <si>
    <t>COD (per Schedule 22)</t>
  </si>
  <si>
    <t>Delay FA #2</t>
  </si>
  <si>
    <t>Max FA Obligation</t>
  </si>
  <si>
    <t>Max FA Obligation/First Year Base FCA Revenue</t>
  </si>
  <si>
    <t>Forfeited FA/First Year Base FCA Revenue</t>
  </si>
  <si>
    <t>-</t>
  </si>
  <si>
    <t>Proposed NCCFCA$ (Min of Net CONE or 1/3 base revenue)</t>
  </si>
  <si>
    <t>Current NCCFCA$ (Net CONE)</t>
  </si>
  <si>
    <t>Milestone FA #1</t>
  </si>
  <si>
    <t>Milestone FA #2</t>
  </si>
  <si>
    <t>Milestone FA #3</t>
  </si>
  <si>
    <t>Achieve Substantial Site Construction</t>
  </si>
  <si>
    <t>Base FA reduced to 3, Milestone FA released bc SSC achieved</t>
  </si>
  <si>
    <t>Expected base revenue from 1st 3 mo of CCP 16</t>
  </si>
  <si>
    <t>Expected base revenue from 2nd 3 mo of CCP 16</t>
  </si>
  <si>
    <t>Expected base revenue from 3rd 3 mo of CCP 16</t>
  </si>
  <si>
    <t>Expected base revenue from 4th 3 mo of CCP 16</t>
  </si>
  <si>
    <t>Delay FA #1 Forfeited</t>
  </si>
  <si>
    <t>Release of Delay FA bc COD achieved</t>
  </si>
  <si>
    <t>Release of Base FA #1, 2, 3</t>
  </si>
  <si>
    <t>FCA cleared kW (all)</t>
  </si>
  <si>
    <t>Solar CSO in Winter (kW)</t>
  </si>
  <si>
    <t>Wind CSO in Winter (kW)</t>
  </si>
  <si>
    <t>Battery/Conventional CSO in Winter (kW)</t>
  </si>
  <si>
    <t>FA is released in 2nd calendar month after triggering event occurs</t>
  </si>
  <si>
    <t>Max FA Obligation ($/kW of cleared CSO)</t>
  </si>
  <si>
    <t>Release of Base FA #1, 2, 3 bc FCM COD achieved</t>
  </si>
  <si>
    <t>Successful FCM Commercial Operation Audit (FCM COD)</t>
  </si>
  <si>
    <t>Release of Base and Delay FA bc FCM COD achieved</t>
  </si>
  <si>
    <t>Release Delay FA bc COD achieved</t>
  </si>
  <si>
    <t>Delay FA #3</t>
  </si>
  <si>
    <t>Delay FA #4</t>
  </si>
  <si>
    <t>Delay FA #2 Forfeited</t>
  </si>
  <si>
    <t>Delay FA #3 Forfeited</t>
  </si>
  <si>
    <t>Delay FA #4 Forfeited</t>
  </si>
  <si>
    <t>Delay FA #5</t>
  </si>
  <si>
    <t>Delay FA #5 Forfeited</t>
  </si>
  <si>
    <t>Delay FA #6</t>
  </si>
  <si>
    <t>Delay FA #7</t>
  </si>
  <si>
    <t>FCA 15 Pricing ($/kW-mo)</t>
  </si>
  <si>
    <t>Example 3a: Solar &gt;20 MW in NNE reaches COD prior to start of CCP15</t>
  </si>
  <si>
    <t>Expected 1st year base revenue from FCA 15</t>
  </si>
  <si>
    <t>Expected base revenue from 1st 3 mo of CCP 15</t>
  </si>
  <si>
    <t>Expected base revenue from 2nd 3 mo of CCP 15</t>
  </si>
  <si>
    <t>Expected base revenue from 3rd 3 mo of CCP 15</t>
  </si>
  <si>
    <t>Expected base revenue from 4th 3 mo of CCP 15</t>
  </si>
  <si>
    <t>Release of Base FA bc FCM COD achieved</t>
  </si>
  <si>
    <t>Total Forfeited FA ($/kW of cleared CSO)</t>
  </si>
  <si>
    <t>Example 1a: Onshore Wind &gt;20 MW in ME reaches COD prior to start of CCP15</t>
  </si>
  <si>
    <t>Delay FA #6 Forfeited</t>
  </si>
  <si>
    <t>Clear in FCA 15</t>
  </si>
  <si>
    <t>Clear in FCA 20</t>
  </si>
  <si>
    <t>Base NCFA #5</t>
  </si>
  <si>
    <t>Base NCFA #6</t>
  </si>
  <si>
    <t>Example 1c: Onshore Wind Plant &gt;20 MW in ME reaches COD 22 months after start of CCP15</t>
  </si>
  <si>
    <t>Example 2a: Battery &gt;20 MW in RoP reaches COD prior to start of CCP15</t>
  </si>
  <si>
    <t>Example 2c: Battery &gt;20 MW in RoP reaches COD 22 months after start of CCP15</t>
  </si>
  <si>
    <t>Example 2d: Battery &lt;20 MW in RoP reaches COD 22 months after start of CCP15</t>
  </si>
  <si>
    <t>Example 3c: Solar &gt;20 MW in NNE reaches COD 22 months after start of CCP15</t>
  </si>
  <si>
    <t>Example 3d: Solar &lt;20 MW in NNE reaches COD 22 months after start of CCP15</t>
  </si>
  <si>
    <t>For delayed projects, the project schedule is delayed within the first year after clearing in an FCA such that COD is past start of CCP and Notice to Proceed occurs after 1st Milestone FA is due</t>
  </si>
  <si>
    <t>Example 4a: Offshore Wind &gt;20 MW in SENE reaches COD prior to start of CCP15</t>
  </si>
  <si>
    <t>Substantial site construction is reached 9 months before COD, except for OSW where it is reached 20 months before COD</t>
  </si>
  <si>
    <t>For solar and wind: project successfully audits at the first opportunity 30-days post-COD (very optimistic)</t>
  </si>
  <si>
    <t>For batteries: project successfully audits within days of COD</t>
  </si>
  <si>
    <t>Only event months are shown, the day of the month is not reflected in these examples</t>
  </si>
  <si>
    <t>Example 4c: Offshore Wind &gt;20 MW in SENE reaches COD prior to start of CCP15</t>
  </si>
  <si>
    <t>On Time</t>
  </si>
  <si>
    <t>22 mo late</t>
  </si>
  <si>
    <t>FCA 15 Revenue</t>
  </si>
  <si>
    <t>FCA 16 Revenue</t>
  </si>
  <si>
    <t>Total FCA Revenue 15+16</t>
  </si>
  <si>
    <t>2 yr FCA Revenue minus amount forfeited</t>
  </si>
  <si>
    <t>Onshore Wind in NNE</t>
  </si>
  <si>
    <t>Large Battery in RoP</t>
  </si>
  <si>
    <t>Small Battery in RoP</t>
  </si>
  <si>
    <t>Big PV in NNE</t>
  </si>
  <si>
    <t>Small PV in NNE</t>
  </si>
  <si>
    <t>OSW in SENE</t>
  </si>
  <si>
    <t>1/1</t>
  </si>
  <si>
    <t>1/0</t>
  </si>
  <si>
    <t>Summer/Winter CSO (kW)</t>
  </si>
  <si>
    <t>1/2</t>
  </si>
  <si>
    <t>Takeaways:</t>
  </si>
  <si>
    <t xml:space="preserve">1) Except for PV, projects that are on time have no increase in their maximum FA requirements compared with the current rules, projects that are delayed have increased FA requirements </t>
  </si>
  <si>
    <t>2) PV FA requirements are reduced compared to current requirements (because they only earn capacity revenue in 4 months of the year), though delayed projects have higher obligation than on-time projects</t>
  </si>
  <si>
    <t>Amount of Forfeited FA for Successful Project</t>
  </si>
  <si>
    <t>3) Projects that are ultimately successful still forfeit a portion of their FA if they are more than 6 months late reaching COD, but this forfeited FA never exceeds the FCA revenue paid to the resource during its delay</t>
  </si>
  <si>
    <t>Example 1b: Onshore Wind Plant &gt;20 MW in ME reaches COD 7 months after start of CCP15</t>
  </si>
  <si>
    <t>Example 2b: Battery &gt;20 MW in RoP reaches COD 7 months after start of CCP15</t>
  </si>
  <si>
    <t>Example 3b: Solar &gt;20 MW in NNE reaches COD 7 months after start of CCP15</t>
  </si>
  <si>
    <t>7 mo Late</t>
  </si>
  <si>
    <t>Peak FA (Current Rules)</t>
  </si>
  <si>
    <t>Peak FA (Proposed Rules)</t>
  </si>
  <si>
    <t>Peak FA Proposed/Peak FA Current</t>
  </si>
  <si>
    <t>3) &lt;20 MW generators, DERs, and Demand Resources that are significantly delayed have reduced FA requirements compared to current rules</t>
  </si>
  <si>
    <t>Peak FA posted for project with 100 MW summer CSO (proposed)</t>
  </si>
  <si>
    <t>Peak FA posted for project with 100 MW summer CSO (current)</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</si>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</sst>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164" formatCode="&quot;$&quot;#,##0.00"/>
    <numFmt numFmtId="165" formatCode="0.0%"/>
    <numFmt numFmtId="166" formatCode="&quot;$&quot;#,##0.000"/>
    <numFmt numFmtId="167" formatCode="#,##0.000"/>
    <numFmt numFmtId="168" formatCode="[$-409]mmm\-yy;@"/>
    <numFmt numFmtId="169" formatCode="0.000"/>
  </numFmts>
  <fonts count="7">
    <font>
      <sz val="12"/>
      <color theme="1"/>
      <name val="Calibri"/>
      <family val="2"/>
      <scheme val="minor"/>
    </font>
    <font>
      <sz val="10"/>
      <name val="Arial"/>
      <family val="2"/>
    </font>
    <font>
      <b/>
      <sz val="12"/>
      <color rgb="FF000000"/>
      <name val="Calibri"/>
      <family val="2"/>
      <scheme val="minor"/>
    </font>
    <font>
      <b/>
      <sz val="12"/>
      <color theme="1"/>
      <name val="Calibri"/>
      <family val="2"/>
      <scheme val="minor"/>
    </font>
    <font>
      <sz val="8"/>
      <name val="Calibri"/>
      <family val="2"/>
      <scheme val="minor"/>
    </font>
    <font>
      <b/>
      <sz val="12"/>
      <color theme="9" tint="-0.24997000396251678"/>
      <name val="Calibri"/>
      <family val="2"/>
      <scheme val="minor"/>
    </font>
    <font>
      <sz val="12"/>
      <color theme="9" tint="-0.24997000396251678"/>
      <name val="Calibri"/>
      <family val="2"/>
      <scheme val="minor"/>
    </font>
  </fonts>
  <fills count="2">
    <fill>
      <patternFill/>
    </fill>
    <fill>
      <patternFill patternType="gray125"/>
    </fill>
  </fills>
  <borders count="40">
    <border>
      <left/>
      <right/>
      <top/>
      <bottom/>
      <diagonal/>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right style="thin"/>
      <top style="thin"/>
      <bottom style="medium"/>
    </border>
    <border>
      <left style="medium"/>
      <right/>
      <top style="medium"/>
      <bottom style="thin"/>
    </border>
    <border>
      <left style="thin"/>
      <right/>
      <top style="medium"/>
      <bottom style="thin"/>
    </border>
    <border>
      <left style="medium"/>
      <right/>
      <top style="thin"/>
      <bottom style="thin"/>
    </border>
    <border>
      <left style="medium"/>
      <right/>
      <top style="thin"/>
      <bottom style="medium"/>
    </border>
    <border>
      <left style="thin"/>
      <right/>
      <top style="thin"/>
      <bottom style="medium"/>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0" fontId="2" fillId="0" borderId="0" xfId="0" applyFont="1" applyAlignment="1">
      <alignment vertical="center"/>
    </xf>
    <xf numFmtId="164" fontId="0" fillId="0" borderId="0" xfId="0" applyNumberFormat="1"/>
    <xf numFmtId="0" fontId="0" fillId="0" borderId="0" xfId="0" applyAlignment="1">
      <alignment wrapText="1"/>
    </xf>
    <xf numFmtId="17" fontId="0" fillId="0" borderId="0" xfId="0" applyNumberFormat="1"/>
    <xf numFmtId="166" fontId="0" fillId="0" borderId="0" xfId="0" applyNumberFormat="1"/>
    <xf numFmtId="0" fontId="0" fillId="0" borderId="1" xfId="0" applyBorder="1"/>
    <xf numFmtId="0" fontId="0" fillId="0" borderId="2" xfId="0" applyBorder="1"/>
    <xf numFmtId="0" fontId="0" fillId="0" borderId="3" xfId="0" applyBorder="1"/>
    <xf numFmtId="0" fontId="0" fillId="0" borderId="0" xfId="0" applyBorder="1"/>
    <xf numFmtId="167" fontId="0" fillId="0" borderId="0" xfId="0" applyNumberFormat="1" applyBorder="1"/>
    <xf numFmtId="166" fontId="0" fillId="0" borderId="0" xfId="0" applyNumberFormat="1" applyBorder="1"/>
    <xf numFmtId="167" fontId="0" fillId="0" borderId="4" xfId="0" applyNumberFormat="1" applyBorder="1"/>
    <xf numFmtId="0" fontId="0" fillId="0" borderId="5" xfId="0" applyBorder="1"/>
    <xf numFmtId="167" fontId="0" fillId="0" borderId="5" xfId="0" applyNumberFormat="1" applyBorder="1"/>
    <xf numFmtId="166" fontId="0" fillId="0" borderId="5" xfId="0" applyNumberFormat="1" applyBorder="1"/>
    <xf numFmtId="167" fontId="0" fillId="0" borderId="6" xfId="0" applyNumberFormat="1" applyBorder="1"/>
    <xf numFmtId="0" fontId="0" fillId="0" borderId="7" xfId="0" applyBorder="1"/>
    <xf numFmtId="0" fontId="0" fillId="0" borderId="7" xfId="0" applyBorder="1" quotePrefix="1"/>
    <xf numFmtId="0" fontId="0" fillId="0" borderId="8" xfId="0" applyBorder="1"/>
    <xf numFmtId="0" fontId="0" fillId="0" borderId="4" xfId="0" applyBorder="1"/>
    <xf numFmtId="0" fontId="0" fillId="0" borderId="0" xfId="0" applyBorder="1" applyAlignment="1">
      <alignment horizontal="right"/>
    </xf>
    <xf numFmtId="165" fontId="0" fillId="0" borderId="0" xfId="0" applyNumberFormat="1" applyBorder="1"/>
    <xf numFmtId="0" fontId="0" fillId="0" borderId="5" xfId="0" applyBorder="1" applyAlignment="1">
      <alignment horizontal="right"/>
    </xf>
    <xf numFmtId="165" fontId="0" fillId="0" borderId="5" xfId="0" applyNumberFormat="1" applyBorder="1"/>
    <xf numFmtId="0" fontId="0" fillId="0" borderId="6" xfId="0" applyBorder="1"/>
    <xf numFmtId="168" fontId="0" fillId="0" borderId="7" xfId="0" applyNumberFormat="1" applyBorder="1"/>
    <xf numFmtId="168" fontId="0" fillId="0" borderId="8" xfId="0" applyNumberFormat="1" applyBorder="1"/>
    <xf numFmtId="0" fontId="3" fillId="0" borderId="1" xfId="0" applyFont="1" applyBorder="1"/>
    <xf numFmtId="0" fontId="3" fillId="0" borderId="7" xfId="0" applyFont="1" applyBorder="1" applyAlignment="1">
      <alignment wrapText="1"/>
    </xf>
    <xf numFmtId="0" fontId="3" fillId="0" borderId="0" xfId="0" applyFont="1" applyBorder="1" applyAlignment="1">
      <alignment wrapText="1"/>
    </xf>
    <xf numFmtId="0" fontId="3" fillId="0" borderId="4" xfId="0" applyFont="1" applyBorder="1" applyAlignment="1">
      <alignment wrapText="1"/>
    </xf>
    <xf numFmtId="0" fontId="0" fillId="0" borderId="8" xfId="0" applyBorder="1" quotePrefix="1"/>
    <xf numFmtId="166" fontId="0" fillId="0" borderId="4" xfId="0" applyNumberFormat="1" applyBorder="1"/>
    <xf numFmtId="166" fontId="0" fillId="0" borderId="6" xfId="0" applyNumberFormat="1" applyBorder="1"/>
    <xf numFmtId="169" fontId="0" fillId="0" borderId="0" xfId="0" applyNumberFormat="1" applyBorder="1"/>
    <xf numFmtId="0" fontId="0" fillId="0" borderId="7" xfId="0" applyFill="1" applyBorder="1"/>
    <xf numFmtId="0" fontId="0" fillId="0" borderId="7" xfId="0" applyFill="1" applyBorder="1" quotePrefix="1"/>
    <xf numFmtId="0" fontId="0" fillId="0" borderId="9" xfId="0" applyBorder="1"/>
    <xf numFmtId="0" fontId="0" fillId="0" borderId="10" xfId="0" applyBorder="1"/>
    <xf numFmtId="0" fontId="0" fillId="0" borderId="11" xfId="0" applyBorder="1"/>
    <xf numFmtId="166" fontId="0" fillId="0" borderId="12" xfId="0" applyNumberFormat="1" applyBorder="1"/>
    <xf numFmtId="0" fontId="0" fillId="0" borderId="13" xfId="0" applyBorder="1"/>
    <xf numFmtId="0" fontId="0" fillId="0" borderId="14" xfId="0" applyBorder="1"/>
    <xf numFmtId="166" fontId="0" fillId="0" borderId="15" xfId="0" applyNumberFormat="1" applyBorder="1"/>
    <xf numFmtId="0" fontId="0" fillId="0" borderId="16" xfId="0" applyBorder="1"/>
    <xf numFmtId="166" fontId="0" fillId="0" borderId="17" xfId="0" applyNumberFormat="1" applyBorder="1"/>
    <xf numFmtId="0" fontId="0" fillId="0" borderId="18" xfId="0" applyBorder="1"/>
    <xf numFmtId="0" fontId="0" fillId="0" borderId="19" xfId="0" applyBorder="1"/>
    <xf numFmtId="166" fontId="0" fillId="0" borderId="20" xfId="0" applyNumberFormat="1" applyBorder="1"/>
    <xf numFmtId="0" fontId="0" fillId="0" borderId="0" xfId="0" applyAlignment="1">
      <alignment horizontal="left" vertical="top"/>
    </xf>
    <xf numFmtId="44" fontId="0" fillId="0" borderId="0" xfId="16" applyFont="1" applyBorder="1"/>
    <xf numFmtId="9" fontId="0" fillId="0" borderId="0" xfId="15" applyFont="1" applyBorder="1"/>
    <xf numFmtId="0" fontId="6" fillId="0" borderId="0" xfId="0" applyFont="1"/>
    <xf numFmtId="0" fontId="5" fillId="0" borderId="0" xfId="0" applyFont="1" applyBorder="1"/>
    <xf numFmtId="0" fontId="6" fillId="0" borderId="0" xfId="0" applyFont="1" applyBorder="1"/>
    <xf numFmtId="44" fontId="0" fillId="0" borderId="9" xfId="16" applyFont="1" applyBorder="1"/>
    <xf numFmtId="0" fontId="0" fillId="0" borderId="21" xfId="0" applyBorder="1"/>
    <xf numFmtId="0" fontId="0" fillId="0" borderId="22" xfId="0" applyBorder="1" quotePrefix="1"/>
    <xf numFmtId="44" fontId="0" fillId="0" borderId="22" xfId="16" applyFont="1" applyBorder="1"/>
    <xf numFmtId="0" fontId="0" fillId="0" borderId="15" xfId="0" applyBorder="1"/>
    <xf numFmtId="0" fontId="0" fillId="0" borderId="16" xfId="0" applyBorder="1" quotePrefix="1"/>
    <xf numFmtId="0" fontId="0" fillId="0" borderId="17" xfId="0" applyBorder="1"/>
    <xf numFmtId="44" fontId="0" fillId="0" borderId="16" xfId="16" applyFont="1" applyBorder="1"/>
    <xf numFmtId="44" fontId="0" fillId="0" borderId="17" xfId="16" applyFont="1" applyBorder="1"/>
    <xf numFmtId="44" fontId="0" fillId="0" borderId="18" xfId="16" applyFont="1" applyBorder="1"/>
    <xf numFmtId="44" fontId="0" fillId="0" borderId="19" xfId="16" applyFont="1" applyBorder="1"/>
    <xf numFmtId="44" fontId="0" fillId="0" borderId="20" xfId="16" applyFont="1" applyBorder="1"/>
    <xf numFmtId="44" fontId="0" fillId="0" borderId="13" xfId="16" applyFont="1" applyBorder="1"/>
    <xf numFmtId="44" fontId="0" fillId="0" borderId="14" xfId="16" applyFont="1" applyBorder="1"/>
    <xf numFmtId="44" fontId="0" fillId="0" borderId="15" xfId="16" applyFont="1" applyBorder="1"/>
    <xf numFmtId="44" fontId="0" fillId="0" borderId="17" xfId="16" applyFont="1" applyFill="1" applyBorder="1"/>
    <xf numFmtId="9" fontId="0" fillId="0" borderId="18" xfId="15" applyFont="1" applyBorder="1"/>
    <xf numFmtId="9" fontId="0" fillId="0" borderId="19" xfId="15" applyFont="1" applyBorder="1"/>
    <xf numFmtId="9" fontId="0" fillId="0" borderId="20" xfId="15" applyFont="1" applyBorder="1"/>
    <xf numFmtId="44" fontId="0" fillId="0" borderId="18" xfId="0" applyNumberFormat="1" applyBorder="1"/>
    <xf numFmtId="44" fontId="0" fillId="0" borderId="19" xfId="0" applyNumberFormat="1" applyBorder="1"/>
    <xf numFmtId="44" fontId="0" fillId="0" borderId="20" xfId="0" applyNumberFormat="1" applyBorder="1"/>
    <xf numFmtId="5" fontId="0" fillId="0" borderId="13" xfId="0" applyNumberFormat="1" applyBorder="1"/>
    <xf numFmtId="5" fontId="0" fillId="0" borderId="14" xfId="0" applyNumberFormat="1" applyBorder="1"/>
    <xf numFmtId="5" fontId="0" fillId="0" borderId="15" xfId="0" applyNumberFormat="1" applyBorder="1"/>
    <xf numFmtId="5" fontId="0" fillId="0" borderId="18" xfId="0" applyNumberFormat="1" applyBorder="1"/>
    <xf numFmtId="5" fontId="0" fillId="0" borderId="19" xfId="0" applyNumberFormat="1" applyBorder="1"/>
    <xf numFmtId="5" fontId="0" fillId="0" borderId="20" xfId="0" applyNumberFormat="1" applyBorder="1"/>
    <xf numFmtId="44" fontId="0" fillId="0" borderId="21" xfId="16" applyFont="1" applyBorder="1"/>
    <xf numFmtId="0" fontId="0" fillId="0" borderId="23" xfId="0" applyBorder="1"/>
    <xf numFmtId="0" fontId="0" fillId="0" borderId="24" xfId="0" applyBorder="1" quotePrefix="1"/>
    <xf numFmtId="44" fontId="0" fillId="0" borderId="24" xfId="16" applyFont="1" applyBorder="1"/>
    <xf numFmtId="44" fontId="0" fillId="0" borderId="25" xfId="16" applyFont="1" applyBorder="1"/>
    <xf numFmtId="44" fontId="0" fillId="0" borderId="23" xfId="16" applyFont="1" applyBorder="1"/>
    <xf numFmtId="9" fontId="0" fillId="0" borderId="25" xfId="15" applyFont="1" applyBorder="1"/>
    <xf numFmtId="44" fontId="0" fillId="0" borderId="25" xfId="0" applyNumberFormat="1" applyBorder="1"/>
    <xf numFmtId="5" fontId="0" fillId="0" borderId="23" xfId="0" applyNumberFormat="1" applyBorder="1"/>
    <xf numFmtId="5" fontId="0" fillId="0" borderId="25" xfId="0" applyNumberFormat="1" applyBorder="1"/>
    <xf numFmtId="0" fontId="0" fillId="0" borderId="26" xfId="0" applyBorder="1"/>
    <xf numFmtId="44" fontId="0" fillId="0" borderId="27" xfId="16" applyFont="1" applyBorder="1"/>
    <xf numFmtId="0" fontId="0" fillId="0" borderId="28" xfId="0" applyBorder="1"/>
    <xf numFmtId="0" fontId="0" fillId="0" borderId="29" xfId="0" applyBorder="1"/>
    <xf numFmtId="0" fontId="0" fillId="0" borderId="30" xfId="0" applyBorder="1"/>
    <xf numFmtId="0" fontId="0" fillId="0" borderId="31" xfId="0" applyBorder="1"/>
    <xf numFmtId="44" fontId="0" fillId="0" borderId="32" xfId="16" applyFont="1" applyBorder="1"/>
    <xf numFmtId="44" fontId="0" fillId="0" borderId="26" xfId="16" applyFont="1" applyBorder="1"/>
    <xf numFmtId="44" fontId="0" fillId="0" borderId="29" xfId="16" applyFont="1" applyBorder="1"/>
    <xf numFmtId="9" fontId="0" fillId="0" borderId="27" xfId="15" applyFont="1" applyBorder="1"/>
    <xf numFmtId="9" fontId="0" fillId="0" borderId="32" xfId="15" applyFont="1" applyBorder="1"/>
    <xf numFmtId="44" fontId="0" fillId="0" borderId="27" xfId="0" applyNumberFormat="1" applyBorder="1"/>
    <xf numFmtId="44" fontId="0" fillId="0" borderId="32" xfId="0" applyNumberFormat="1" applyBorder="1"/>
    <xf numFmtId="5" fontId="0" fillId="0" borderId="26" xfId="0" applyNumberFormat="1" applyBorder="1"/>
    <xf numFmtId="5" fontId="0" fillId="0" borderId="29" xfId="0" applyNumberFormat="1" applyBorder="1"/>
    <xf numFmtId="5" fontId="0" fillId="0" borderId="27" xfId="0" applyNumberFormat="1" applyBorder="1"/>
    <xf numFmtId="5" fontId="0" fillId="0" borderId="32" xfId="0" applyNumberFormat="1" applyBorder="1"/>
    <xf numFmtId="0" fontId="0" fillId="0" borderId="33" xfId="0" applyBorder="1"/>
    <xf numFmtId="44" fontId="0" fillId="0" borderId="34" xfId="16" applyFont="1" applyBorder="1"/>
    <xf numFmtId="44" fontId="0" fillId="0" borderId="35" xfId="16" applyFont="1" applyBorder="1"/>
    <xf numFmtId="44" fontId="0" fillId="0" borderId="36" xfId="16" applyFont="1" applyBorder="1"/>
    <xf numFmtId="44" fontId="0" fillId="0" borderId="37" xfId="16" applyFont="1" applyBorder="1"/>
    <xf numFmtId="44" fontId="0" fillId="0" borderId="38" xfId="16" applyFont="1" applyBorder="1"/>
    <xf numFmtId="44" fontId="0" fillId="0" borderId="39" xfId="16" applyFont="1" applyBorder="1"/>
    <xf numFmtId="0" fontId="0" fillId="0" borderId="20" xfId="0" applyBorder="1"/>
    <xf numFmtId="0" fontId="0" fillId="0" borderId="27" xfId="0" applyBorder="1"/>
    <xf numFmtId="0" fontId="0" fillId="0" borderId="32" xfId="0" applyBorder="1"/>
    <xf numFmtId="0" fontId="0" fillId="0" borderId="25"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57405-6AAB-430C-9FAD-C9E15BD1FE55}">
  <dimension ref="A1:N26"/>
  <sheetViews>
    <sheetView tabSelected="1" workbookViewId="0" topLeftCell="A1">
      <selection activeCell="A2" sqref="A2"/>
    </sheetView>
  </sheetViews>
  <sheetFormatPr defaultColWidth="8.875" defaultRowHeight="15.75"/>
  <cols>
    <col min="1" max="1" width="58.625" style="0" customWidth="1"/>
    <col min="2" max="7" width="14.875" style="0" customWidth="1"/>
    <col min="8" max="8" width="18.125" style="0" bestFit="1" customWidth="1"/>
    <col min="9" max="14" width="14.875" style="0" customWidth="1"/>
  </cols>
  <sheetData>
    <row r="1" ht="15.75">
      <c r="A1" t="s">
        <v>123</v>
      </c>
    </row>
    <row r="2" ht="17" thickBot="1"/>
    <row r="3" spans="1:14" ht="15.75">
      <c r="A3" s="96"/>
      <c r="B3" s="42" t="s">
        <v>98</v>
      </c>
      <c r="C3" s="43"/>
      <c r="D3" s="60"/>
      <c r="E3" s="94" t="s">
        <v>99</v>
      </c>
      <c r="F3" s="43"/>
      <c r="G3" s="97"/>
      <c r="H3" s="85" t="s">
        <v>100</v>
      </c>
      <c r="I3" s="94" t="s">
        <v>101</v>
      </c>
      <c r="J3" s="43"/>
      <c r="K3" s="97"/>
      <c r="L3" s="85" t="s">
        <v>102</v>
      </c>
      <c r="M3" s="94" t="s">
        <v>103</v>
      </c>
      <c r="N3" s="60"/>
    </row>
    <row r="4" spans="1:14" ht="15.75">
      <c r="A4" s="98" t="s">
        <v>106</v>
      </c>
      <c r="B4" s="61" t="s">
        <v>107</v>
      </c>
      <c r="C4" s="38"/>
      <c r="D4" s="62"/>
      <c r="E4" s="58" t="s">
        <v>104</v>
      </c>
      <c r="F4" s="38"/>
      <c r="G4" s="57"/>
      <c r="H4" s="86" t="s">
        <v>104</v>
      </c>
      <c r="I4" s="58" t="s">
        <v>105</v>
      </c>
      <c r="J4" s="38"/>
      <c r="K4" s="57"/>
      <c r="L4" s="86" t="s">
        <v>105</v>
      </c>
      <c r="M4" s="58" t="s">
        <v>107</v>
      </c>
      <c r="N4" s="62"/>
    </row>
    <row r="5" spans="1:14" ht="17" thickBot="1">
      <c r="A5" s="99"/>
      <c r="B5" s="47" t="s">
        <v>92</v>
      </c>
      <c r="C5" s="48" t="s">
        <v>116</v>
      </c>
      <c r="D5" s="118" t="s">
        <v>93</v>
      </c>
      <c r="E5" s="119" t="s">
        <v>92</v>
      </c>
      <c r="F5" s="48" t="s">
        <v>116</v>
      </c>
      <c r="G5" s="120" t="s">
        <v>93</v>
      </c>
      <c r="H5" s="121" t="s">
        <v>93</v>
      </c>
      <c r="I5" s="119" t="s">
        <v>92</v>
      </c>
      <c r="J5" s="48" t="s">
        <v>116</v>
      </c>
      <c r="K5" s="120" t="s">
        <v>93</v>
      </c>
      <c r="L5" s="121" t="s">
        <v>93</v>
      </c>
      <c r="M5" s="119" t="s">
        <v>92</v>
      </c>
      <c r="N5" s="118" t="s">
        <v>93</v>
      </c>
    </row>
    <row r="6" spans="1:14" ht="15.75">
      <c r="A6" s="111" t="s">
        <v>94</v>
      </c>
      <c r="B6" s="112">
        <f>'Onshore Wind in ME On Time'!D3</f>
        <v>49.54</v>
      </c>
      <c r="C6" s="113">
        <f>'Onshore Wind in ME 7mo late'!D3</f>
        <v>49.54</v>
      </c>
      <c r="D6" s="114">
        <f>'Onshore Wind in ME 22mo late'!D3</f>
        <v>49.54</v>
      </c>
      <c r="E6" s="115">
        <f>'Battery in RoP On Time'!D3</f>
        <v>31.332</v>
      </c>
      <c r="F6" s="113">
        <f>'Battery in RoP 7mo late'!D3</f>
        <v>31.332</v>
      </c>
      <c r="G6" s="116">
        <f>'Battery in RoP 22mo late'!D3</f>
        <v>31.332</v>
      </c>
      <c r="H6" s="117">
        <f>'Small Battery in RoP 22mo late'!D3</f>
        <v>31.332</v>
      </c>
      <c r="I6" s="115">
        <f>'PV in NNE On Time'!D3</f>
        <v>9.908</v>
      </c>
      <c r="J6" s="113">
        <f>'PV in NNE 7mo late'!D3</f>
        <v>9.908</v>
      </c>
      <c r="K6" s="116">
        <f>'PV in NNE 22mo late'!D3</f>
        <v>9.908</v>
      </c>
      <c r="L6" s="117">
        <f>'Small PV in NNE 22mo late'!D3</f>
        <v>9.908</v>
      </c>
      <c r="M6" s="115">
        <f>'OSW in SENE On Time'!D3</f>
        <v>79.6</v>
      </c>
      <c r="N6" s="114">
        <f>'OSW in SENE 22mo late'!D3</f>
        <v>79.6</v>
      </c>
    </row>
    <row r="7" spans="1:14" ht="15.75">
      <c r="A7" s="98" t="s">
        <v>95</v>
      </c>
      <c r="B7" s="63">
        <f>'Onshore Wind in ME On Time'!D8+'Onshore Wind in ME On Time'!D9+'Onshore Wind in ME On Time'!D10+'Onshore Wind in ME On Time'!D11</f>
        <v>50.62</v>
      </c>
      <c r="C7" s="56">
        <f>'Onshore Wind in ME 7mo late'!D8+'Onshore Wind in ME 7mo late'!D9+'Onshore Wind in ME 7mo late'!D10+'Onshore Wind in ME 7mo late'!D11</f>
        <v>50.62</v>
      </c>
      <c r="D7" s="64">
        <f>'Onshore Wind in ME 22mo late'!D8+'Onshore Wind in ME 22mo late'!D9+'Onshore Wind in ME 22mo late'!D10+'Onshore Wind in ME 22mo late'!D11</f>
        <v>50.62</v>
      </c>
      <c r="E7" s="59">
        <f>'Battery in RoP On Time'!D8+'Battery in RoP On Time'!D9+'Battery in RoP On Time'!D10+'Battery in RoP On Time'!D11</f>
        <v>31.092000000000002</v>
      </c>
      <c r="F7" s="56">
        <f>'Battery in RoP 7mo late'!D8+'Battery in RoP 7mo late'!D9+'Battery in RoP 7mo late'!D10+'Battery in RoP 7mo late'!D11</f>
        <v>31.092000000000002</v>
      </c>
      <c r="G7" s="84">
        <f>'Battery in RoP 22mo late'!D8+'Battery in RoP 22mo late'!D9+'Battery in RoP 22mo late'!D10+'Battery in RoP 22mo late'!D11</f>
        <v>31.092000000000002</v>
      </c>
      <c r="H7" s="87">
        <f>'Small Battery in RoP 22mo late'!D8+'Small Battery in RoP 22mo late'!D9+'Small Battery in RoP 22mo late'!D10+'Small Battery in RoP 22mo late'!D11</f>
        <v>31.092000000000002</v>
      </c>
      <c r="I7" s="59">
        <f>'PV in NNE On Time'!D8+'PV in NNE On Time'!D9+'PV in NNE On Time'!D10+'PV in NNE On Time'!D11</f>
        <v>10.124</v>
      </c>
      <c r="J7" s="56">
        <f>'PV in NNE 7mo late'!D8+'PV in NNE 7mo late'!D9+'PV in NNE 7mo late'!D10+'PV in NNE 7mo late'!D11</f>
        <v>10.124</v>
      </c>
      <c r="K7" s="84">
        <f>'PV in NNE 22mo late'!D8+'PV in NNE 22mo late'!D9+'PV in NNE 22mo late'!D10+'PV in NNE 22mo late'!D11</f>
        <v>10.124</v>
      </c>
      <c r="L7" s="87">
        <f>'Small PV in NNE 22mo late'!D8+'Small PV in NNE 22mo late'!D9+'Small PV in NNE 22mo late'!D10+'Small PV in NNE 22mo late'!D11</f>
        <v>10.124</v>
      </c>
      <c r="M7" s="59">
        <f>'OSW in SENE On Time'!D8+'OSW in SENE On Time'!D9+'OSW in SENE On Time'!D10+'OSW in SENE On Time'!D11</f>
        <v>52.78</v>
      </c>
      <c r="N7" s="64">
        <f>'OSW in SENE 22mo late'!D8+'OSW in SENE 22mo late'!D9+'OSW in SENE 22mo late'!D10+'OSW in SENE 22mo late'!D11</f>
        <v>52.78</v>
      </c>
    </row>
    <row r="8" spans="1:14" ht="17" thickBot="1">
      <c r="A8" s="99" t="s">
        <v>96</v>
      </c>
      <c r="B8" s="65">
        <f aca="true" t="shared" si="0" ref="B8:N8">B6+B7</f>
        <v>100.16</v>
      </c>
      <c r="C8" s="66">
        <f t="shared" si="0"/>
        <v>100.16</v>
      </c>
      <c r="D8" s="67">
        <f t="shared" si="0"/>
        <v>100.16</v>
      </c>
      <c r="E8" s="95">
        <f t="shared" si="0"/>
        <v>62.42400000000001</v>
      </c>
      <c r="F8" s="66">
        <f t="shared" si="0"/>
        <v>62.42400000000001</v>
      </c>
      <c r="G8" s="100">
        <f t="shared" si="0"/>
        <v>62.42400000000001</v>
      </c>
      <c r="H8" s="88">
        <f t="shared" si="0"/>
        <v>62.42400000000001</v>
      </c>
      <c r="I8" s="95">
        <f t="shared" si="0"/>
        <v>20.032</v>
      </c>
      <c r="J8" s="66">
        <f t="shared" si="0"/>
        <v>20.032</v>
      </c>
      <c r="K8" s="100">
        <f t="shared" si="0"/>
        <v>20.032</v>
      </c>
      <c r="L8" s="88">
        <f t="shared" si="0"/>
        <v>20.032</v>
      </c>
      <c r="M8" s="95">
        <f t="shared" si="0"/>
        <v>132.38</v>
      </c>
      <c r="N8" s="67">
        <f t="shared" si="0"/>
        <v>132.38</v>
      </c>
    </row>
    <row r="9" spans="1:14" ht="17" thickBot="1">
      <c r="A9" s="9"/>
      <c r="B9" s="51"/>
      <c r="C9" s="51"/>
      <c r="D9" s="51"/>
      <c r="E9" s="51"/>
      <c r="F9" s="51"/>
      <c r="G9" s="51"/>
      <c r="H9" s="51"/>
      <c r="I9" s="51"/>
      <c r="J9" s="51"/>
      <c r="K9" s="51"/>
      <c r="L9" s="51"/>
      <c r="M9" s="51"/>
      <c r="N9" s="51"/>
    </row>
    <row r="10" spans="1:14" ht="15.75">
      <c r="A10" s="96" t="s">
        <v>117</v>
      </c>
      <c r="B10" s="68">
        <f>'Onshore Wind in ME On Time'!E39</f>
        <v>26.121000000000002</v>
      </c>
      <c r="C10" s="69">
        <f>'Onshore Wind in ME 7mo late'!E45</f>
        <v>43.535000000000004</v>
      </c>
      <c r="D10" s="70">
        <f>'Onshore Wind in ME 22mo late'!E58</f>
        <v>60.949000000000005</v>
      </c>
      <c r="E10" s="101">
        <f>'Battery in RoP On Time'!E39</f>
        <v>26.121000000000002</v>
      </c>
      <c r="F10" s="69">
        <f>'Battery in RoP 7mo late'!E43</f>
        <v>34.828</v>
      </c>
      <c r="G10" s="102">
        <f>'Battery in RoP 22mo late'!E58</f>
        <v>60.949000000000005</v>
      </c>
      <c r="H10" s="89">
        <f>'Small Battery in RoP 22mo late'!E60</f>
        <v>60.949000000000005</v>
      </c>
      <c r="I10" s="101">
        <f>'PV in NNE On Time'!E39</f>
        <v>26.121000000000002</v>
      </c>
      <c r="J10" s="69">
        <f>'PV in NNE 7mo late'!E44</f>
        <v>34.828</v>
      </c>
      <c r="K10" s="102">
        <f>'PV in NNE 22mo late'!E58</f>
        <v>60.949000000000005</v>
      </c>
      <c r="L10" s="89">
        <f>'Small PV in NNE 22mo late'!E60</f>
        <v>60.949000000000005</v>
      </c>
      <c r="M10" s="101">
        <f>'OSW in SENE On Time'!E39</f>
        <v>26.121000000000002</v>
      </c>
      <c r="N10" s="70">
        <f>'OSW in SENE 22mo late'!E58</f>
        <v>60.949000000000005</v>
      </c>
    </row>
    <row r="11" spans="1:14" ht="15.75">
      <c r="A11" s="98" t="s">
        <v>118</v>
      </c>
      <c r="B11" s="63">
        <f>'Onshore Wind in ME On Time'!J39</f>
        <v>26.121000000000002</v>
      </c>
      <c r="C11" s="56">
        <f>'Onshore Wind in ME 7mo late'!J45</f>
        <v>84.368</v>
      </c>
      <c r="D11" s="71">
        <f>'Onshore Wind in ME 22mo late'!J58</f>
        <v>99.22999999999999</v>
      </c>
      <c r="E11" s="59">
        <f>'Battery in RoP On Time'!J39</f>
        <v>26.121000000000002</v>
      </c>
      <c r="F11" s="56">
        <f>'Battery in RoP 7mo late'!J43</f>
        <v>66.16000000000001</v>
      </c>
      <c r="G11" s="84">
        <f>'Battery in RoP 22mo late'!J58</f>
        <v>73.99300000000001</v>
      </c>
      <c r="H11" s="87">
        <f>'Small Battery in RoP 22mo late'!J60</f>
        <v>43.535000000000004</v>
      </c>
      <c r="I11" s="59">
        <f>'PV in NNE On Time'!J39</f>
        <v>9.908</v>
      </c>
      <c r="J11" s="56">
        <f>'PV in NNE 7mo late'!J44</f>
        <v>23.118666666666666</v>
      </c>
      <c r="K11" s="84">
        <f>'PV in NNE 22mo late'!J58</f>
        <v>30.549666666666667</v>
      </c>
      <c r="L11" s="87">
        <f>'Small PV in NNE 22mo late'!J60</f>
        <v>16.513333333333332</v>
      </c>
      <c r="M11" s="59">
        <f>'OSW in SENE On Time'!J39</f>
        <v>26.121000000000002</v>
      </c>
      <c r="N11" s="64">
        <f>'OSW in SENE 22mo late'!J58</f>
        <v>99.01</v>
      </c>
    </row>
    <row r="12" spans="1:14" ht="17" thickBot="1">
      <c r="A12" s="99" t="s">
        <v>119</v>
      </c>
      <c r="B12" s="72">
        <f>B11/B10</f>
        <v>1</v>
      </c>
      <c r="C12" s="73">
        <f aca="true" t="shared" si="1" ref="C12:N12">C11/C10</f>
        <v>1.9379349948317444</v>
      </c>
      <c r="D12" s="74">
        <f t="shared" si="1"/>
        <v>1.6280824952009054</v>
      </c>
      <c r="E12" s="103">
        <f t="shared" si="1"/>
        <v>1</v>
      </c>
      <c r="F12" s="73">
        <f t="shared" si="1"/>
        <v>1.8996209946020446</v>
      </c>
      <c r="G12" s="104">
        <f t="shared" si="1"/>
        <v>1.2140149961443174</v>
      </c>
      <c r="H12" s="90">
        <f t="shared" si="1"/>
        <v>0.7142857142857143</v>
      </c>
      <c r="I12" s="103">
        <f t="shared" si="1"/>
        <v>0.37931166494391483</v>
      </c>
      <c r="J12" s="73">
        <f t="shared" si="1"/>
        <v>0.6637954136518509</v>
      </c>
      <c r="K12" s="104">
        <f t="shared" si="1"/>
        <v>0.5012332715330303</v>
      </c>
      <c r="L12" s="90">
        <f t="shared" si="1"/>
        <v>0.27093690353136773</v>
      </c>
      <c r="M12" s="103">
        <f t="shared" si="1"/>
        <v>1</v>
      </c>
      <c r="N12" s="74">
        <f t="shared" si="1"/>
        <v>1.6244729199822803</v>
      </c>
    </row>
    <row r="13" spans="1:14" ht="15.75">
      <c r="A13" s="9"/>
      <c r="B13" s="52"/>
      <c r="C13" s="52"/>
      <c r="D13" s="52"/>
      <c r="E13" s="52"/>
      <c r="F13" s="52"/>
      <c r="G13" s="52"/>
      <c r="H13" s="52"/>
      <c r="I13" s="52"/>
      <c r="J13" s="52"/>
      <c r="K13" s="52"/>
      <c r="L13" s="52"/>
      <c r="M13" s="52"/>
      <c r="N13" s="52"/>
    </row>
    <row r="14" spans="1:14" ht="15.75">
      <c r="A14" s="54" t="s">
        <v>108</v>
      </c>
      <c r="B14" s="52"/>
      <c r="C14" s="52"/>
      <c r="D14" s="52"/>
      <c r="E14" s="52"/>
      <c r="F14" s="52"/>
      <c r="G14" s="52"/>
      <c r="H14" s="52"/>
      <c r="I14" s="52"/>
      <c r="J14" s="52"/>
      <c r="K14" s="52"/>
      <c r="L14" s="52"/>
      <c r="M14" s="52"/>
      <c r="N14" s="52"/>
    </row>
    <row r="15" spans="1:14" ht="15.75">
      <c r="A15" s="55" t="s">
        <v>109</v>
      </c>
      <c r="B15" s="52"/>
      <c r="C15" s="52"/>
      <c r="D15" s="52"/>
      <c r="E15" s="52"/>
      <c r="F15" s="52"/>
      <c r="G15" s="52"/>
      <c r="H15" s="52"/>
      <c r="I15" s="52"/>
      <c r="J15" s="52"/>
      <c r="K15" s="52"/>
      <c r="L15" s="52"/>
      <c r="M15" s="52"/>
      <c r="N15" s="52"/>
    </row>
    <row r="16" spans="1:14" ht="15.75">
      <c r="A16" s="55" t="s">
        <v>110</v>
      </c>
      <c r="B16" s="52"/>
      <c r="C16" s="52"/>
      <c r="D16" s="52"/>
      <c r="E16" s="52"/>
      <c r="F16" s="52"/>
      <c r="G16" s="52"/>
      <c r="H16" s="52"/>
      <c r="I16" s="52"/>
      <c r="J16" s="52"/>
      <c r="K16" s="52"/>
      <c r="L16" s="52"/>
      <c r="M16" s="52"/>
      <c r="N16" s="52"/>
    </row>
    <row r="17" spans="1:14" ht="15.75">
      <c r="A17" s="55" t="s">
        <v>120</v>
      </c>
      <c r="B17" s="52"/>
      <c r="C17" s="52"/>
      <c r="D17" s="52"/>
      <c r="E17" s="52"/>
      <c r="F17" s="52"/>
      <c r="G17" s="52"/>
      <c r="H17" s="52"/>
      <c r="I17" s="52"/>
      <c r="J17" s="52"/>
      <c r="K17" s="52"/>
      <c r="L17" s="52"/>
      <c r="M17" s="52"/>
      <c r="N17" s="52"/>
    </row>
    <row r="18" spans="1:14" ht="17" thickBot="1">
      <c r="A18" s="9"/>
      <c r="B18" s="52"/>
      <c r="C18" s="52"/>
      <c r="D18" s="52"/>
      <c r="E18" s="52"/>
      <c r="F18" s="52"/>
      <c r="G18" s="52"/>
      <c r="H18" s="52"/>
      <c r="I18" s="52"/>
      <c r="J18" s="52"/>
      <c r="K18" s="52"/>
      <c r="L18" s="52"/>
      <c r="M18" s="52"/>
      <c r="N18" s="52"/>
    </row>
    <row r="19" spans="1:14" ht="15.75">
      <c r="A19" s="96" t="s">
        <v>111</v>
      </c>
      <c r="B19" s="68">
        <f>'Onshore Wind in ME On Time'!J41</f>
        <v>0</v>
      </c>
      <c r="C19" s="69">
        <f>'Onshore Wind in ME 7mo late'!J47</f>
        <v>7.430999999999999</v>
      </c>
      <c r="D19" s="70">
        <f>'Onshore Wind in ME 22mo late'!J60</f>
        <v>69.788</v>
      </c>
      <c r="E19" s="101">
        <f>'Battery in RoP On Time'!J41</f>
        <v>0</v>
      </c>
      <c r="F19" s="69">
        <f>'Battery in RoP 7mo late'!J45</f>
        <v>7.833</v>
      </c>
      <c r="G19" s="102">
        <f>'Battery in RoP 22mo late'!J60</f>
        <v>46.87800000000001</v>
      </c>
      <c r="H19" s="89">
        <f>'Small Battery in RoP 22mo late'!J62</f>
        <v>0</v>
      </c>
      <c r="I19" s="101">
        <f>'PV in NNE On Time'!J41</f>
        <v>0</v>
      </c>
      <c r="J19" s="69">
        <f>'PV in NNE 7mo late'!J46</f>
        <v>7.430999999999999</v>
      </c>
      <c r="K19" s="102">
        <f>'PV in NNE 22mo late'!J60</f>
        <v>20.031999999999996</v>
      </c>
      <c r="L19" s="89">
        <f>'Small PV in NNE 22mo late'!J62</f>
        <v>0</v>
      </c>
      <c r="M19" s="101">
        <f>'OSW in SENE On Time'!J41</f>
        <v>0</v>
      </c>
      <c r="N19" s="70">
        <f>'OSW in SENE 22mo late'!J60</f>
        <v>100.71199999999999</v>
      </c>
    </row>
    <row r="20" spans="1:14" ht="17" thickBot="1">
      <c r="A20" s="99" t="s">
        <v>97</v>
      </c>
      <c r="B20" s="75">
        <f>B6+B7-B19</f>
        <v>100.16</v>
      </c>
      <c r="C20" s="76">
        <f aca="true" t="shared" si="2" ref="C20:N20">C6+C7-C19</f>
        <v>92.729</v>
      </c>
      <c r="D20" s="77">
        <f t="shared" si="2"/>
        <v>30.372</v>
      </c>
      <c r="E20" s="105">
        <f t="shared" si="2"/>
        <v>62.42400000000001</v>
      </c>
      <c r="F20" s="76">
        <f t="shared" si="2"/>
        <v>54.59100000000001</v>
      </c>
      <c r="G20" s="106">
        <f t="shared" si="2"/>
        <v>15.546</v>
      </c>
      <c r="H20" s="91">
        <f t="shared" si="2"/>
        <v>62.42400000000001</v>
      </c>
      <c r="I20" s="105">
        <f t="shared" si="2"/>
        <v>20.032</v>
      </c>
      <c r="J20" s="76">
        <f t="shared" si="2"/>
        <v>12.601</v>
      </c>
      <c r="K20" s="106">
        <f t="shared" si="2"/>
        <v>0</v>
      </c>
      <c r="L20" s="91">
        <f t="shared" si="2"/>
        <v>20.032</v>
      </c>
      <c r="M20" s="105">
        <f t="shared" si="2"/>
        <v>132.38</v>
      </c>
      <c r="N20" s="77">
        <f t="shared" si="2"/>
        <v>31.668000000000006</v>
      </c>
    </row>
    <row r="22" ht="15.75">
      <c r="A22" s="54" t="s">
        <v>108</v>
      </c>
    </row>
    <row r="23" ht="15.75">
      <c r="A23" s="53" t="s">
        <v>112</v>
      </c>
    </row>
    <row r="24" ht="17" thickBot="1"/>
    <row r="25" spans="1:14" ht="15.75">
      <c r="A25" s="96" t="s">
        <v>122</v>
      </c>
      <c r="B25" s="78">
        <f aca="true" t="shared" si="3" ref="B25:C26">100*1000*B10</f>
        <v>2612100</v>
      </c>
      <c r="C25" s="79">
        <f t="shared" si="3"/>
        <v>4353500</v>
      </c>
      <c r="D25" s="80">
        <f>100*1000*D10</f>
        <v>6094900.000000001</v>
      </c>
      <c r="E25" s="107">
        <f aca="true" t="shared" si="4" ref="E25:N26">100*1000*E10</f>
        <v>2612100</v>
      </c>
      <c r="F25" s="79">
        <f t="shared" si="4"/>
        <v>3482800.0000000005</v>
      </c>
      <c r="G25" s="108">
        <f t="shared" si="4"/>
        <v>6094900.000000001</v>
      </c>
      <c r="H25" s="92">
        <f t="shared" si="4"/>
        <v>6094900.000000001</v>
      </c>
      <c r="I25" s="107">
        <f t="shared" si="4"/>
        <v>2612100</v>
      </c>
      <c r="J25" s="79">
        <f t="shared" si="4"/>
        <v>3482800.0000000005</v>
      </c>
      <c r="K25" s="108">
        <f t="shared" si="4"/>
        <v>6094900.000000001</v>
      </c>
      <c r="L25" s="92">
        <f t="shared" si="4"/>
        <v>6094900.000000001</v>
      </c>
      <c r="M25" s="107">
        <f t="shared" si="4"/>
        <v>2612100</v>
      </c>
      <c r="N25" s="80">
        <f t="shared" si="4"/>
        <v>6094900.000000001</v>
      </c>
    </row>
    <row r="26" spans="1:14" ht="17" thickBot="1">
      <c r="A26" s="99" t="s">
        <v>121</v>
      </c>
      <c r="B26" s="81">
        <f t="shared" si="3"/>
        <v>2612100</v>
      </c>
      <c r="C26" s="82">
        <f t="shared" si="3"/>
        <v>8436800</v>
      </c>
      <c r="D26" s="83">
        <f>100*1000*D11</f>
        <v>9922999.999999998</v>
      </c>
      <c r="E26" s="109">
        <f t="shared" si="4"/>
        <v>2612100</v>
      </c>
      <c r="F26" s="82">
        <f t="shared" si="4"/>
        <v>6616000.000000001</v>
      </c>
      <c r="G26" s="110">
        <f t="shared" si="4"/>
        <v>7399300.000000001</v>
      </c>
      <c r="H26" s="93">
        <f t="shared" si="4"/>
        <v>4353500</v>
      </c>
      <c r="I26" s="109">
        <f t="shared" si="4"/>
        <v>990800</v>
      </c>
      <c r="J26" s="82">
        <f t="shared" si="4"/>
        <v>2311866.6666666665</v>
      </c>
      <c r="K26" s="110">
        <f t="shared" si="4"/>
        <v>3054966.6666666665</v>
      </c>
      <c r="L26" s="93">
        <f t="shared" si="4"/>
        <v>1651333.3333333333</v>
      </c>
      <c r="M26" s="109">
        <f t="shared" si="4"/>
        <v>2612100</v>
      </c>
      <c r="N26" s="83">
        <f t="shared" si="4"/>
        <v>9901000</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1F4E-890C-4F42-9897-7E9218E317D9}">
  <dimension ref="A1:L43"/>
  <sheetViews>
    <sheetView workbookViewId="0" topLeftCell="A1">
      <selection activeCell="D9" sqref="D9"/>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65</v>
      </c>
    </row>
    <row r="2" ht="17" thickBot="1"/>
    <row r="3" spans="1:4" ht="17" thickBot="1">
      <c r="A3" s="39" t="s">
        <v>66</v>
      </c>
      <c r="B3" s="40"/>
      <c r="C3" s="40"/>
      <c r="D3" s="41">
        <f>4*Assumptions!C2*Assumptions!C15</f>
        <v>9.908</v>
      </c>
    </row>
    <row r="4" spans="1:4" ht="15.75">
      <c r="A4" s="42" t="s">
        <v>67</v>
      </c>
      <c r="B4" s="43"/>
      <c r="C4" s="43"/>
      <c r="D4" s="44">
        <f>Assumptions!C2*Assumptions!C15*3</f>
        <v>7.430999999999999</v>
      </c>
    </row>
    <row r="5" spans="1:4" ht="15.75">
      <c r="A5" s="45" t="s">
        <v>68</v>
      </c>
      <c r="B5" s="38"/>
      <c r="C5" s="38"/>
      <c r="D5" s="46">
        <f>Assumptions!C2*Assumptions!C15*1</f>
        <v>2.477</v>
      </c>
    </row>
    <row r="6" spans="1:5" ht="15.75">
      <c r="A6" s="45" t="s">
        <v>69</v>
      </c>
      <c r="B6" s="38"/>
      <c r="C6" s="38"/>
      <c r="D6" s="46">
        <f>Assumptions!C2*Assumptions!C15*0</f>
        <v>0</v>
      </c>
      <c r="E6" s="5"/>
    </row>
    <row r="7" spans="1:5" ht="17" thickBot="1">
      <c r="A7" s="47" t="s">
        <v>70</v>
      </c>
      <c r="B7" s="48"/>
      <c r="C7" s="48"/>
      <c r="D7" s="49">
        <f>Assumptions!C2*Assumptions!C15*0</f>
        <v>0</v>
      </c>
      <c r="E7" s="5"/>
    </row>
    <row r="8" spans="1:5" ht="15.75">
      <c r="A8" s="42" t="s">
        <v>38</v>
      </c>
      <c r="B8" s="43"/>
      <c r="C8" s="43"/>
      <c r="D8" s="44">
        <f>Assumptions!C2*Assumptions!C21*3</f>
        <v>7.593</v>
      </c>
      <c r="E8" s="5"/>
    </row>
    <row r="9" spans="1:5" ht="15.75">
      <c r="A9" s="45" t="s">
        <v>39</v>
      </c>
      <c r="B9" s="38"/>
      <c r="C9" s="38"/>
      <c r="D9" s="46">
        <f>Assumptions!C2*Assumptions!C21*1</f>
        <v>2.531</v>
      </c>
      <c r="E9" s="5"/>
    </row>
    <row r="10" spans="1:5" ht="15.75">
      <c r="A10" s="45" t="s">
        <v>40</v>
      </c>
      <c r="B10" s="38"/>
      <c r="C10" s="38"/>
      <c r="D10" s="46">
        <v>0</v>
      </c>
      <c r="E10" s="5"/>
    </row>
    <row r="11" spans="1:5" ht="17" thickBot="1">
      <c r="A11" s="47" t="s">
        <v>41</v>
      </c>
      <c r="B11" s="48"/>
      <c r="C11" s="48"/>
      <c r="D11" s="49">
        <v>0</v>
      </c>
      <c r="E11" s="5"/>
    </row>
    <row r="12" ht="15.75">
      <c r="D12" s="5"/>
    </row>
    <row r="13" spans="1:4" ht="15.75">
      <c r="A13" t="s">
        <v>32</v>
      </c>
      <c r="D13" s="5">
        <f>Assumptions!C14</f>
        <v>8.707</v>
      </c>
    </row>
    <row r="14" spans="1:4" ht="15.75">
      <c r="A14" t="s">
        <v>31</v>
      </c>
      <c r="D14" s="5">
        <f>MIN(D13,(D3/3))</f>
        <v>3.3026666666666666</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1.3026666666666666</v>
      </c>
      <c r="J19" s="10">
        <f>J18+I19</f>
        <v>3.3026666666666666</v>
      </c>
      <c r="K19" s="10">
        <v>0</v>
      </c>
      <c r="L19" s="12">
        <f>K19+L18</f>
        <v>0</v>
      </c>
    </row>
    <row r="20" spans="2:12" ht="15.75">
      <c r="B20" s="26">
        <v>44228</v>
      </c>
      <c r="C20" s="17" t="s">
        <v>75</v>
      </c>
      <c r="D20" s="10">
        <v>0</v>
      </c>
      <c r="E20" s="11">
        <f aca="true" t="shared" si="0" ref="E20:E36">D20+E19</f>
        <v>8.707</v>
      </c>
      <c r="F20" s="11">
        <v>0</v>
      </c>
      <c r="G20" s="33">
        <f aca="true" t="shared" si="1" ref="G20:G36">F20+G19</f>
        <v>0</v>
      </c>
      <c r="H20" s="17" t="s">
        <v>75</v>
      </c>
      <c r="I20" s="10">
        <v>0</v>
      </c>
      <c r="J20" s="10">
        <f aca="true" t="shared" si="2" ref="J20:J36">J19+I20</f>
        <v>3.3026666666666666</v>
      </c>
      <c r="K20" s="10">
        <v>0</v>
      </c>
      <c r="L20" s="12">
        <f aca="true" t="shared" si="3" ref="L20:L36">K20+L19</f>
        <v>0</v>
      </c>
    </row>
    <row r="21" spans="2:12" ht="15.75">
      <c r="B21" s="26">
        <v>44562</v>
      </c>
      <c r="C21" s="17" t="s">
        <v>17</v>
      </c>
      <c r="D21" s="10">
        <f>D13</f>
        <v>8.707</v>
      </c>
      <c r="E21" s="11">
        <f t="shared" si="0"/>
        <v>17.414</v>
      </c>
      <c r="F21" s="11">
        <v>0</v>
      </c>
      <c r="G21" s="33">
        <f t="shared" si="1"/>
        <v>0</v>
      </c>
      <c r="H21" s="17" t="s">
        <v>17</v>
      </c>
      <c r="I21" s="10">
        <f>D14</f>
        <v>3.3026666666666666</v>
      </c>
      <c r="J21" s="10">
        <f t="shared" si="2"/>
        <v>6.605333333333333</v>
      </c>
      <c r="K21" s="10">
        <v>0</v>
      </c>
      <c r="L21" s="12">
        <f t="shared" si="3"/>
        <v>0</v>
      </c>
    </row>
    <row r="22" spans="2:12" ht="15.75">
      <c r="B22" s="26">
        <v>44562</v>
      </c>
      <c r="C22" s="18" t="s">
        <v>30</v>
      </c>
      <c r="D22" s="10">
        <v>0</v>
      </c>
      <c r="E22" s="11">
        <f t="shared" si="0"/>
        <v>17.414</v>
      </c>
      <c r="F22" s="11">
        <v>0</v>
      </c>
      <c r="G22" s="33">
        <f t="shared" si="1"/>
        <v>0</v>
      </c>
      <c r="H22" s="17" t="s">
        <v>33</v>
      </c>
      <c r="I22" s="10">
        <f>0*MIN((1*D14),(D3/6))</f>
        <v>0</v>
      </c>
      <c r="J22" s="10">
        <f t="shared" si="2"/>
        <v>6.605333333333333</v>
      </c>
      <c r="K22" s="10">
        <v>0</v>
      </c>
      <c r="L22" s="12">
        <f t="shared" si="3"/>
        <v>0</v>
      </c>
    </row>
    <row r="23" spans="2:12" ht="15.75">
      <c r="B23" s="26">
        <v>44593</v>
      </c>
      <c r="C23" s="17" t="s">
        <v>16</v>
      </c>
      <c r="D23" s="10">
        <v>0</v>
      </c>
      <c r="E23" s="11">
        <f t="shared" si="0"/>
        <v>17.414</v>
      </c>
      <c r="F23" s="11">
        <v>0</v>
      </c>
      <c r="G23" s="33">
        <f t="shared" si="1"/>
        <v>0</v>
      </c>
      <c r="H23" s="17" t="s">
        <v>16</v>
      </c>
      <c r="I23" s="10">
        <v>0</v>
      </c>
      <c r="J23" s="10">
        <f t="shared" si="2"/>
        <v>6.605333333333333</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3.3026666666666666</v>
      </c>
      <c r="J24" s="10">
        <f t="shared" si="2"/>
        <v>9.908</v>
      </c>
      <c r="K24" s="10">
        <v>0</v>
      </c>
      <c r="L24" s="12">
        <f t="shared" si="3"/>
        <v>0</v>
      </c>
    </row>
    <row r="25" spans="2:12" ht="15.75">
      <c r="B25" s="26">
        <v>44927</v>
      </c>
      <c r="C25" s="18" t="s">
        <v>30</v>
      </c>
      <c r="D25" s="10">
        <v>0</v>
      </c>
      <c r="E25" s="11">
        <f t="shared" si="0"/>
        <v>26.121000000000002</v>
      </c>
      <c r="F25" s="11">
        <v>0</v>
      </c>
      <c r="G25" s="33">
        <f t="shared" si="1"/>
        <v>0</v>
      </c>
      <c r="H25" s="17" t="s">
        <v>34</v>
      </c>
      <c r="I25" s="10">
        <f>0*MIN((3*D14),(D3/2))-I22</f>
        <v>0</v>
      </c>
      <c r="J25" s="10">
        <f t="shared" si="2"/>
        <v>9.908</v>
      </c>
      <c r="K25" s="10">
        <v>0</v>
      </c>
      <c r="L25" s="12">
        <f t="shared" si="3"/>
        <v>0</v>
      </c>
    </row>
    <row r="26" spans="2:12" ht="15.75">
      <c r="B26" s="26">
        <v>44958</v>
      </c>
      <c r="C26" s="17" t="s">
        <v>18</v>
      </c>
      <c r="D26" s="10">
        <v>0</v>
      </c>
      <c r="E26" s="11">
        <f t="shared" si="0"/>
        <v>26.121000000000002</v>
      </c>
      <c r="F26" s="11">
        <v>0</v>
      </c>
      <c r="G26" s="33">
        <f t="shared" si="1"/>
        <v>0</v>
      </c>
      <c r="H26" s="17" t="s">
        <v>18</v>
      </c>
      <c r="I26" s="10">
        <v>0</v>
      </c>
      <c r="J26" s="10">
        <f t="shared" si="2"/>
        <v>9.908</v>
      </c>
      <c r="K26" s="10">
        <v>0</v>
      </c>
      <c r="L26" s="12">
        <f t="shared" si="3"/>
        <v>0</v>
      </c>
    </row>
    <row r="27" spans="2:12" ht="15.75">
      <c r="B27" s="26">
        <v>45139</v>
      </c>
      <c r="C27" s="18" t="s">
        <v>30</v>
      </c>
      <c r="D27" s="10">
        <v>0</v>
      </c>
      <c r="E27" s="11">
        <f t="shared" si="0"/>
        <v>26.121000000000002</v>
      </c>
      <c r="F27" s="11">
        <v>0</v>
      </c>
      <c r="G27" s="33">
        <f t="shared" si="1"/>
        <v>0</v>
      </c>
      <c r="H27" s="17" t="s">
        <v>36</v>
      </c>
      <c r="I27" s="10">
        <v>0</v>
      </c>
      <c r="J27" s="10">
        <f t="shared" si="2"/>
        <v>9.908</v>
      </c>
      <c r="K27" s="10">
        <v>0</v>
      </c>
      <c r="L27" s="12">
        <f t="shared" si="3"/>
        <v>0</v>
      </c>
    </row>
    <row r="28" spans="2:12" ht="15.75">
      <c r="B28" s="26">
        <v>45200</v>
      </c>
      <c r="C28" s="18" t="s">
        <v>30</v>
      </c>
      <c r="D28" s="10">
        <v>0</v>
      </c>
      <c r="E28" s="11">
        <f t="shared" si="0"/>
        <v>26.121000000000002</v>
      </c>
      <c r="F28" s="11">
        <v>0</v>
      </c>
      <c r="G28" s="33">
        <f t="shared" si="1"/>
        <v>0</v>
      </c>
      <c r="H28" s="17" t="s">
        <v>37</v>
      </c>
      <c r="I28" s="10">
        <v>0</v>
      </c>
      <c r="J28" s="10">
        <f t="shared" si="2"/>
        <v>9.908</v>
      </c>
      <c r="K28" s="10">
        <v>0</v>
      </c>
      <c r="L28" s="12">
        <f t="shared" si="3"/>
        <v>0</v>
      </c>
    </row>
    <row r="29" spans="2:12" ht="15.75">
      <c r="B29" s="26">
        <v>45292</v>
      </c>
      <c r="C29" s="18" t="s">
        <v>30</v>
      </c>
      <c r="D29" s="10">
        <v>0</v>
      </c>
      <c r="E29" s="11">
        <f t="shared" si="0"/>
        <v>26.121000000000002</v>
      </c>
      <c r="F29" s="11">
        <v>0</v>
      </c>
      <c r="G29" s="33">
        <f t="shared" si="1"/>
        <v>0</v>
      </c>
      <c r="H29" s="17" t="s">
        <v>21</v>
      </c>
      <c r="I29" s="10">
        <f>D14*0</f>
        <v>0</v>
      </c>
      <c r="J29" s="10">
        <f t="shared" si="2"/>
        <v>9.908</v>
      </c>
      <c r="K29" s="10">
        <v>0</v>
      </c>
      <c r="L29" s="12">
        <f t="shared" si="3"/>
        <v>0</v>
      </c>
    </row>
    <row r="30" spans="2:12" ht="15.75">
      <c r="B30" s="26">
        <v>45292</v>
      </c>
      <c r="C30" s="18" t="s">
        <v>30</v>
      </c>
      <c r="D30" s="10">
        <v>0</v>
      </c>
      <c r="E30" s="11">
        <f t="shared" si="0"/>
        <v>26.121000000000002</v>
      </c>
      <c r="F30" s="11">
        <v>0</v>
      </c>
      <c r="G30" s="33">
        <f t="shared" si="1"/>
        <v>0</v>
      </c>
      <c r="H30" s="17" t="s">
        <v>35</v>
      </c>
      <c r="I30" s="10">
        <f>0*MIN((6*D14),(D3))-I25-I22</f>
        <v>0</v>
      </c>
      <c r="J30" s="10">
        <f t="shared" si="2"/>
        <v>9.908</v>
      </c>
      <c r="K30" s="10">
        <v>0</v>
      </c>
      <c r="L30" s="12">
        <f t="shared" si="3"/>
        <v>0</v>
      </c>
    </row>
    <row r="31" spans="2:12" ht="15.75">
      <c r="B31" s="26">
        <v>45323</v>
      </c>
      <c r="C31" s="17" t="s">
        <v>20</v>
      </c>
      <c r="D31" s="10">
        <v>0</v>
      </c>
      <c r="E31" s="11">
        <f t="shared" si="0"/>
        <v>26.121000000000002</v>
      </c>
      <c r="F31" s="11">
        <v>0</v>
      </c>
      <c r="G31" s="33">
        <f t="shared" si="1"/>
        <v>0</v>
      </c>
      <c r="H31" s="17" t="s">
        <v>20</v>
      </c>
      <c r="I31" s="10">
        <v>0</v>
      </c>
      <c r="J31" s="10">
        <f t="shared" si="2"/>
        <v>9.908</v>
      </c>
      <c r="K31" s="10">
        <v>0</v>
      </c>
      <c r="L31" s="12">
        <f t="shared" si="3"/>
        <v>0</v>
      </c>
    </row>
    <row r="32" spans="2:12" ht="15.75">
      <c r="B32" s="26">
        <v>45413</v>
      </c>
      <c r="C32" s="18" t="s">
        <v>30</v>
      </c>
      <c r="D32" s="10">
        <v>0</v>
      </c>
      <c r="E32" s="11">
        <f t="shared" si="0"/>
        <v>26.121000000000002</v>
      </c>
      <c r="F32" s="11">
        <v>0</v>
      </c>
      <c r="G32" s="33">
        <f t="shared" si="1"/>
        <v>0</v>
      </c>
      <c r="H32" s="17" t="s">
        <v>37</v>
      </c>
      <c r="I32" s="10">
        <f>-I22-I25-I30-I29</f>
        <v>0</v>
      </c>
      <c r="J32" s="10">
        <f t="shared" si="2"/>
        <v>9.908</v>
      </c>
      <c r="K32" s="10">
        <v>0</v>
      </c>
      <c r="L32" s="12">
        <f t="shared" si="3"/>
        <v>0</v>
      </c>
    </row>
    <row r="33" spans="2:12" ht="15.75">
      <c r="B33" s="26">
        <v>45383</v>
      </c>
      <c r="C33" s="17" t="s">
        <v>25</v>
      </c>
      <c r="D33" s="10">
        <v>0</v>
      </c>
      <c r="E33" s="11">
        <f t="shared" si="0"/>
        <v>26.121000000000002</v>
      </c>
      <c r="F33" s="11">
        <v>0</v>
      </c>
      <c r="G33" s="33">
        <f t="shared" si="1"/>
        <v>0</v>
      </c>
      <c r="H33" s="17" t="s">
        <v>25</v>
      </c>
      <c r="I33" s="10">
        <v>0</v>
      </c>
      <c r="J33" s="10">
        <f t="shared" si="2"/>
        <v>9.908</v>
      </c>
      <c r="K33" s="10">
        <v>0</v>
      </c>
      <c r="L33" s="12">
        <f t="shared" si="3"/>
        <v>0</v>
      </c>
    </row>
    <row r="34" spans="2:12" ht="15.75">
      <c r="B34" s="26">
        <v>45413</v>
      </c>
      <c r="C34" s="17" t="s">
        <v>52</v>
      </c>
      <c r="D34" s="10">
        <v>0</v>
      </c>
      <c r="E34" s="11">
        <f t="shared" si="0"/>
        <v>26.121000000000002</v>
      </c>
      <c r="F34" s="11">
        <v>0</v>
      </c>
      <c r="G34" s="33">
        <f t="shared" si="1"/>
        <v>0</v>
      </c>
      <c r="H34" s="17" t="s">
        <v>52</v>
      </c>
      <c r="I34" s="10">
        <v>0</v>
      </c>
      <c r="J34" s="10">
        <f t="shared" si="2"/>
        <v>9.908</v>
      </c>
      <c r="K34" s="10">
        <v>0</v>
      </c>
      <c r="L34" s="12">
        <f t="shared" si="3"/>
        <v>0</v>
      </c>
    </row>
    <row r="35" spans="2:12" ht="15.75">
      <c r="B35" s="26">
        <v>45444</v>
      </c>
      <c r="C35" s="17" t="s">
        <v>23</v>
      </c>
      <c r="D35" s="10">
        <v>0</v>
      </c>
      <c r="E35" s="11">
        <f t="shared" si="0"/>
        <v>26.121000000000002</v>
      </c>
      <c r="F35" s="11">
        <v>0</v>
      </c>
      <c r="G35" s="33">
        <f t="shared" si="1"/>
        <v>0</v>
      </c>
      <c r="H35" s="17" t="s">
        <v>23</v>
      </c>
      <c r="I35" s="10">
        <v>0</v>
      </c>
      <c r="J35" s="10">
        <f t="shared" si="2"/>
        <v>9.908</v>
      </c>
      <c r="K35" s="10">
        <v>0</v>
      </c>
      <c r="L35" s="12">
        <f t="shared" si="3"/>
        <v>0</v>
      </c>
    </row>
    <row r="36" spans="2:12" ht="17" thickBot="1">
      <c r="B36" s="27">
        <v>45474</v>
      </c>
      <c r="C36" s="19" t="s">
        <v>71</v>
      </c>
      <c r="D36" s="14">
        <f>-E35</f>
        <v>-26.121000000000002</v>
      </c>
      <c r="E36" s="15">
        <f t="shared" si="0"/>
        <v>0</v>
      </c>
      <c r="F36" s="15">
        <v>0</v>
      </c>
      <c r="G36" s="34">
        <f t="shared" si="1"/>
        <v>0</v>
      </c>
      <c r="H36" s="19" t="s">
        <v>51</v>
      </c>
      <c r="I36" s="14">
        <f>-I18-I19-I21-I24</f>
        <v>-9.908</v>
      </c>
      <c r="J36" s="14">
        <f t="shared" si="2"/>
        <v>0</v>
      </c>
      <c r="K36" s="14">
        <v>0</v>
      </c>
      <c r="L36" s="16">
        <f t="shared" si="3"/>
        <v>0</v>
      </c>
    </row>
    <row r="37" spans="2:12" ht="15.75">
      <c r="B37" s="4"/>
      <c r="C37" s="17"/>
      <c r="D37" s="9"/>
      <c r="E37" s="9"/>
      <c r="F37" s="9"/>
      <c r="G37" s="9"/>
      <c r="H37" s="17"/>
      <c r="I37" s="9"/>
      <c r="J37" s="9"/>
      <c r="K37" s="9"/>
      <c r="L37" s="20"/>
    </row>
    <row r="38" spans="3:12" ht="15.75">
      <c r="C38" s="17"/>
      <c r="D38" s="9"/>
      <c r="E38" s="9"/>
      <c r="F38" s="9"/>
      <c r="G38" s="9"/>
      <c r="H38" s="17"/>
      <c r="I38" s="9"/>
      <c r="J38" s="9"/>
      <c r="K38" s="9"/>
      <c r="L38" s="20"/>
    </row>
    <row r="39" spans="3:12" ht="15.75">
      <c r="C39" s="17"/>
      <c r="D39" s="21" t="s">
        <v>50</v>
      </c>
      <c r="E39" s="11">
        <f>MAX(E18:E36)</f>
        <v>26.121000000000002</v>
      </c>
      <c r="F39" s="9"/>
      <c r="G39" s="9"/>
      <c r="H39" s="17"/>
      <c r="I39" s="21" t="s">
        <v>27</v>
      </c>
      <c r="J39" s="11">
        <f>MAX(J18:J36)</f>
        <v>9.908</v>
      </c>
      <c r="K39" s="9"/>
      <c r="L39" s="20"/>
    </row>
    <row r="40" spans="3:12" ht="15.75">
      <c r="C40" s="17"/>
      <c r="D40" s="21" t="s">
        <v>28</v>
      </c>
      <c r="E40" s="22">
        <f>E39/D3</f>
        <v>2.636354461041583</v>
      </c>
      <c r="F40" s="9"/>
      <c r="G40" s="9"/>
      <c r="H40" s="17"/>
      <c r="I40" s="21" t="s">
        <v>28</v>
      </c>
      <c r="J40" s="22">
        <f>J39/D3</f>
        <v>1</v>
      </c>
      <c r="K40" s="9"/>
      <c r="L40" s="20"/>
    </row>
    <row r="41" spans="3:12" ht="15.75">
      <c r="C41" s="17"/>
      <c r="D41" s="21" t="s">
        <v>72</v>
      </c>
      <c r="E41" s="11">
        <f>G36</f>
        <v>0</v>
      </c>
      <c r="F41" s="9"/>
      <c r="G41" s="9"/>
      <c r="H41" s="17"/>
      <c r="I41" s="21" t="s">
        <v>72</v>
      </c>
      <c r="J41" s="11">
        <f>L36</f>
        <v>0</v>
      </c>
      <c r="K41" s="9"/>
      <c r="L41" s="20"/>
    </row>
    <row r="42" spans="3:12" ht="17" thickBot="1">
      <c r="C42" s="19"/>
      <c r="D42" s="23" t="s">
        <v>29</v>
      </c>
      <c r="E42" s="24">
        <f>E41/D3</f>
        <v>0</v>
      </c>
      <c r="F42" s="13"/>
      <c r="G42" s="13"/>
      <c r="H42" s="19"/>
      <c r="I42" s="23" t="s">
        <v>29</v>
      </c>
      <c r="J42" s="24">
        <f>J41/D3</f>
        <v>0</v>
      </c>
      <c r="K42" s="13"/>
      <c r="L42" s="25"/>
    </row>
    <row r="43" spans="8:12" ht="15.75">
      <c r="H43" s="9"/>
      <c r="I43" s="9"/>
      <c r="J43" s="9"/>
      <c r="K43" s="9"/>
      <c r="L43" s="9"/>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D3DE-F900-D245-909B-1BCBFB112D9F}">
  <dimension ref="A1:L48"/>
  <sheetViews>
    <sheetView workbookViewId="0" topLeftCell="A1">
      <selection activeCell="A2" sqref="A2"/>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115</v>
      </c>
    </row>
    <row r="2" ht="17" thickBot="1"/>
    <row r="3" spans="1:4" ht="17" thickBot="1">
      <c r="A3" s="39" t="s">
        <v>66</v>
      </c>
      <c r="B3" s="40"/>
      <c r="C3" s="40"/>
      <c r="D3" s="41">
        <f>4*Assumptions!C2*Assumptions!C15</f>
        <v>9.908</v>
      </c>
    </row>
    <row r="4" spans="1:4" ht="15.75">
      <c r="A4" s="42" t="s">
        <v>67</v>
      </c>
      <c r="B4" s="43"/>
      <c r="C4" s="43"/>
      <c r="D4" s="44">
        <f>Assumptions!C2*Assumptions!C15*3</f>
        <v>7.430999999999999</v>
      </c>
    </row>
    <row r="5" spans="1:4" ht="15.75">
      <c r="A5" s="45" t="s">
        <v>68</v>
      </c>
      <c r="B5" s="38"/>
      <c r="C5" s="38"/>
      <c r="D5" s="46">
        <f>Assumptions!C2*Assumptions!C15*1</f>
        <v>2.477</v>
      </c>
    </row>
    <row r="6" spans="1:5" ht="15.75">
      <c r="A6" s="45" t="s">
        <v>69</v>
      </c>
      <c r="B6" s="38"/>
      <c r="C6" s="38"/>
      <c r="D6" s="46">
        <f>Assumptions!C2*Assumptions!C15*0</f>
        <v>0</v>
      </c>
      <c r="E6" s="5"/>
    </row>
    <row r="7" spans="1:5" ht="17" thickBot="1">
      <c r="A7" s="47" t="s">
        <v>70</v>
      </c>
      <c r="B7" s="48"/>
      <c r="C7" s="48"/>
      <c r="D7" s="49">
        <f>Assumptions!C2*Assumptions!C15*0</f>
        <v>0</v>
      </c>
      <c r="E7" s="5"/>
    </row>
    <row r="8" spans="1:5" ht="15.75">
      <c r="A8" s="42" t="s">
        <v>38</v>
      </c>
      <c r="B8" s="43"/>
      <c r="C8" s="43"/>
      <c r="D8" s="44">
        <f>Assumptions!C2*Assumptions!C21*3</f>
        <v>7.593</v>
      </c>
      <c r="E8" s="5"/>
    </row>
    <row r="9" spans="1:5" ht="15.75">
      <c r="A9" s="45" t="s">
        <v>39</v>
      </c>
      <c r="B9" s="38"/>
      <c r="C9" s="38"/>
      <c r="D9" s="46">
        <f>Assumptions!C2*Assumptions!C21*1</f>
        <v>2.531</v>
      </c>
      <c r="E9" s="5"/>
    </row>
    <row r="10" spans="1:5" ht="15.75">
      <c r="A10" s="45" t="s">
        <v>40</v>
      </c>
      <c r="B10" s="38"/>
      <c r="C10" s="38"/>
      <c r="D10" s="46">
        <v>0</v>
      </c>
      <c r="E10" s="5"/>
    </row>
    <row r="11" spans="1:5" ht="17" thickBot="1">
      <c r="A11" s="47" t="s">
        <v>41</v>
      </c>
      <c r="B11" s="48"/>
      <c r="C11" s="48"/>
      <c r="D11" s="49">
        <v>0</v>
      </c>
      <c r="E11" s="5"/>
    </row>
    <row r="12" ht="15.75">
      <c r="D12" s="5"/>
    </row>
    <row r="13" spans="1:4" ht="15.75">
      <c r="A13" t="s">
        <v>32</v>
      </c>
      <c r="D13" s="5">
        <f>Assumptions!C14</f>
        <v>8.707</v>
      </c>
    </row>
    <row r="14" spans="1:4" ht="15.75">
      <c r="A14" t="s">
        <v>31</v>
      </c>
      <c r="D14" s="5">
        <f>MIN(D13,(D3/3))</f>
        <v>3.3026666666666666</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1.3026666666666666</v>
      </c>
      <c r="J19" s="10">
        <f>J18+I19</f>
        <v>3.3026666666666666</v>
      </c>
      <c r="K19" s="10">
        <v>0</v>
      </c>
      <c r="L19" s="12">
        <f>K19+L18</f>
        <v>0</v>
      </c>
    </row>
    <row r="20" spans="2:12" ht="15.75">
      <c r="B20" s="26">
        <v>44228</v>
      </c>
      <c r="C20" s="17" t="s">
        <v>75</v>
      </c>
      <c r="D20" s="10">
        <v>0</v>
      </c>
      <c r="E20" s="11">
        <f aca="true" t="shared" si="0" ref="E20:E36">D20+E19</f>
        <v>8.707</v>
      </c>
      <c r="F20" s="11">
        <v>0</v>
      </c>
      <c r="G20" s="33">
        <f aca="true" t="shared" si="1" ref="G20:G41">F20+G19</f>
        <v>0</v>
      </c>
      <c r="H20" s="17" t="s">
        <v>75</v>
      </c>
      <c r="I20" s="10">
        <v>0</v>
      </c>
      <c r="J20" s="10">
        <f aca="true" t="shared" si="2" ref="J20:J41">J19+I20</f>
        <v>3.3026666666666666</v>
      </c>
      <c r="K20" s="10">
        <v>0</v>
      </c>
      <c r="L20" s="12">
        <f aca="true" t="shared" si="3" ref="L20:L41">K20+L19</f>
        <v>0</v>
      </c>
    </row>
    <row r="21" spans="2:12" ht="15.75">
      <c r="B21" s="26">
        <v>44562</v>
      </c>
      <c r="C21" s="17" t="s">
        <v>17</v>
      </c>
      <c r="D21" s="10">
        <f>D13</f>
        <v>8.707</v>
      </c>
      <c r="E21" s="11">
        <f t="shared" si="0"/>
        <v>17.414</v>
      </c>
      <c r="F21" s="11">
        <v>0</v>
      </c>
      <c r="G21" s="33">
        <f t="shared" si="1"/>
        <v>0</v>
      </c>
      <c r="H21" s="17" t="s">
        <v>17</v>
      </c>
      <c r="I21" s="10">
        <f>D14</f>
        <v>3.3026666666666666</v>
      </c>
      <c r="J21" s="10">
        <f t="shared" si="2"/>
        <v>6.605333333333333</v>
      </c>
      <c r="K21" s="10">
        <v>0</v>
      </c>
      <c r="L21" s="12">
        <f t="shared" si="3"/>
        <v>0</v>
      </c>
    </row>
    <row r="22" spans="2:12" ht="15.75">
      <c r="B22" s="26">
        <v>44562</v>
      </c>
      <c r="C22" s="18" t="s">
        <v>30</v>
      </c>
      <c r="D22" s="10">
        <v>0</v>
      </c>
      <c r="E22" s="11">
        <f t="shared" si="0"/>
        <v>17.414</v>
      </c>
      <c r="F22" s="11">
        <v>0</v>
      </c>
      <c r="G22" s="33">
        <f t="shared" si="1"/>
        <v>0</v>
      </c>
      <c r="H22" s="17" t="s">
        <v>33</v>
      </c>
      <c r="I22" s="10">
        <f>MIN((1*D14),(D3/6))</f>
        <v>1.6513333333333333</v>
      </c>
      <c r="J22" s="10">
        <f t="shared" si="2"/>
        <v>8.256666666666666</v>
      </c>
      <c r="K22" s="10">
        <v>0</v>
      </c>
      <c r="L22" s="12">
        <f t="shared" si="3"/>
        <v>0</v>
      </c>
    </row>
    <row r="23" spans="2:12" ht="15.75">
      <c r="B23" s="26">
        <v>44593</v>
      </c>
      <c r="C23" s="17" t="s">
        <v>16</v>
      </c>
      <c r="D23" s="10">
        <v>0</v>
      </c>
      <c r="E23" s="11">
        <f t="shared" si="0"/>
        <v>17.414</v>
      </c>
      <c r="F23" s="11">
        <v>0</v>
      </c>
      <c r="G23" s="33">
        <f t="shared" si="1"/>
        <v>0</v>
      </c>
      <c r="H23" s="17" t="s">
        <v>16</v>
      </c>
      <c r="I23" s="10">
        <v>0</v>
      </c>
      <c r="J23" s="10">
        <f t="shared" si="2"/>
        <v>8.256666666666666</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3.3026666666666666</v>
      </c>
      <c r="J24" s="10">
        <f t="shared" si="2"/>
        <v>11.559333333333333</v>
      </c>
      <c r="K24" s="10">
        <v>0</v>
      </c>
      <c r="L24" s="12">
        <f t="shared" si="3"/>
        <v>0</v>
      </c>
    </row>
    <row r="25" spans="2:12" ht="15.75">
      <c r="B25" s="26">
        <v>44927</v>
      </c>
      <c r="C25" s="18" t="s">
        <v>30</v>
      </c>
      <c r="D25" s="10">
        <v>0</v>
      </c>
      <c r="E25" s="11">
        <f t="shared" si="0"/>
        <v>26.121000000000002</v>
      </c>
      <c r="F25" s="11">
        <v>0</v>
      </c>
      <c r="G25" s="33">
        <f t="shared" si="1"/>
        <v>0</v>
      </c>
      <c r="H25" s="17" t="s">
        <v>34</v>
      </c>
      <c r="I25" s="10">
        <f>MIN((3*D14),(D3/2))-I22</f>
        <v>3.302666666666666</v>
      </c>
      <c r="J25" s="10">
        <f t="shared" si="2"/>
        <v>14.861999999999998</v>
      </c>
      <c r="K25" s="10">
        <v>0</v>
      </c>
      <c r="L25" s="12">
        <f t="shared" si="3"/>
        <v>0</v>
      </c>
    </row>
    <row r="26" spans="2:12" ht="15.75">
      <c r="B26" s="26">
        <v>44958</v>
      </c>
      <c r="C26" s="17" t="s">
        <v>18</v>
      </c>
      <c r="D26" s="10">
        <v>0</v>
      </c>
      <c r="E26" s="11">
        <f t="shared" si="0"/>
        <v>26.121000000000002</v>
      </c>
      <c r="F26" s="11">
        <v>0</v>
      </c>
      <c r="G26" s="33">
        <f t="shared" si="1"/>
        <v>0</v>
      </c>
      <c r="H26" s="17" t="s">
        <v>18</v>
      </c>
      <c r="I26" s="10">
        <v>0</v>
      </c>
      <c r="J26" s="10">
        <f t="shared" si="2"/>
        <v>14.861999999999998</v>
      </c>
      <c r="K26" s="10">
        <v>0</v>
      </c>
      <c r="L26" s="12">
        <f t="shared" si="3"/>
        <v>0</v>
      </c>
    </row>
    <row r="27" spans="2:12" ht="15.75">
      <c r="B27" s="26">
        <v>45292</v>
      </c>
      <c r="C27" s="18" t="s">
        <v>30</v>
      </c>
      <c r="D27" s="10">
        <v>0</v>
      </c>
      <c r="E27" s="11">
        <f t="shared" si="0"/>
        <v>26.121000000000002</v>
      </c>
      <c r="F27" s="11">
        <v>0</v>
      </c>
      <c r="G27" s="33">
        <f t="shared" si="1"/>
        <v>0</v>
      </c>
      <c r="H27" s="17" t="s">
        <v>21</v>
      </c>
      <c r="I27" s="10">
        <f>D14</f>
        <v>3.3026666666666666</v>
      </c>
      <c r="J27" s="10">
        <f t="shared" si="2"/>
        <v>18.164666666666665</v>
      </c>
      <c r="K27" s="10">
        <v>0</v>
      </c>
      <c r="L27" s="12">
        <f t="shared" si="3"/>
        <v>0</v>
      </c>
    </row>
    <row r="28" spans="2:12" ht="15.75">
      <c r="B28" s="26">
        <v>45292</v>
      </c>
      <c r="C28" s="18" t="s">
        <v>30</v>
      </c>
      <c r="D28" s="10">
        <v>0</v>
      </c>
      <c r="E28" s="11">
        <f t="shared" si="0"/>
        <v>26.121000000000002</v>
      </c>
      <c r="F28" s="11">
        <v>0</v>
      </c>
      <c r="G28" s="33">
        <f t="shared" si="1"/>
        <v>0</v>
      </c>
      <c r="H28" s="17" t="s">
        <v>35</v>
      </c>
      <c r="I28" s="10">
        <f>MIN((6*D14),(D3))-I25-I22</f>
        <v>4.954</v>
      </c>
      <c r="J28" s="10">
        <f t="shared" si="2"/>
        <v>23.118666666666666</v>
      </c>
      <c r="K28" s="10">
        <v>0</v>
      </c>
      <c r="L28" s="12">
        <f t="shared" si="3"/>
        <v>0</v>
      </c>
    </row>
    <row r="29" spans="2:12" ht="15.75">
      <c r="B29" s="26">
        <v>45323</v>
      </c>
      <c r="C29" s="17" t="s">
        <v>20</v>
      </c>
      <c r="D29" s="10">
        <v>0</v>
      </c>
      <c r="E29" s="11">
        <f t="shared" si="0"/>
        <v>26.121000000000002</v>
      </c>
      <c r="F29" s="11">
        <v>0</v>
      </c>
      <c r="G29" s="33">
        <f t="shared" si="1"/>
        <v>0</v>
      </c>
      <c r="H29" s="17" t="s">
        <v>20</v>
      </c>
      <c r="I29" s="10">
        <v>0</v>
      </c>
      <c r="J29" s="10">
        <f t="shared" si="2"/>
        <v>23.118666666666666</v>
      </c>
      <c r="K29" s="10">
        <v>0</v>
      </c>
      <c r="L29" s="12">
        <f t="shared" si="3"/>
        <v>0</v>
      </c>
    </row>
    <row r="30" spans="2:12" ht="15.75">
      <c r="B30" s="26">
        <v>45352</v>
      </c>
      <c r="C30" s="18" t="s">
        <v>30</v>
      </c>
      <c r="D30" s="10">
        <v>0</v>
      </c>
      <c r="E30" s="11">
        <f t="shared" si="0"/>
        <v>26.121000000000002</v>
      </c>
      <c r="F30" s="11">
        <v>0</v>
      </c>
      <c r="G30" s="33">
        <f t="shared" si="1"/>
        <v>0</v>
      </c>
      <c r="H30" s="17" t="s">
        <v>36</v>
      </c>
      <c r="I30" s="10">
        <v>0</v>
      </c>
      <c r="J30" s="10">
        <f t="shared" si="2"/>
        <v>23.118666666666666</v>
      </c>
      <c r="K30" s="10">
        <v>0</v>
      </c>
      <c r="L30" s="12">
        <f t="shared" si="3"/>
        <v>0</v>
      </c>
    </row>
    <row r="31" spans="2:12" ht="15.75">
      <c r="B31" s="26">
        <v>45413</v>
      </c>
      <c r="C31" s="18" t="s">
        <v>30</v>
      </c>
      <c r="D31" s="10">
        <v>0</v>
      </c>
      <c r="E31" s="11">
        <f t="shared" si="0"/>
        <v>26.121000000000002</v>
      </c>
      <c r="F31" s="11">
        <v>0</v>
      </c>
      <c r="G31" s="33">
        <f t="shared" si="1"/>
        <v>0</v>
      </c>
      <c r="H31" s="17" t="s">
        <v>37</v>
      </c>
      <c r="I31" s="10">
        <f>-I22-I25-I28-I27</f>
        <v>-13.210666666666667</v>
      </c>
      <c r="J31" s="10">
        <f t="shared" si="2"/>
        <v>9.908</v>
      </c>
      <c r="K31" s="10">
        <v>0</v>
      </c>
      <c r="L31" s="12">
        <f t="shared" si="3"/>
        <v>0</v>
      </c>
    </row>
    <row r="32" spans="2:12" ht="15.75">
      <c r="B32" s="26">
        <v>45444</v>
      </c>
      <c r="C32" s="17" t="s">
        <v>23</v>
      </c>
      <c r="D32" s="10">
        <v>0</v>
      </c>
      <c r="E32" s="11">
        <f t="shared" si="0"/>
        <v>26.121000000000002</v>
      </c>
      <c r="F32" s="11">
        <v>0</v>
      </c>
      <c r="G32" s="33">
        <f t="shared" si="1"/>
        <v>0</v>
      </c>
      <c r="H32" s="17" t="s">
        <v>23</v>
      </c>
      <c r="I32" s="10">
        <v>0</v>
      </c>
      <c r="J32" s="10">
        <f t="shared" si="2"/>
        <v>9.908</v>
      </c>
      <c r="K32" s="10">
        <v>0</v>
      </c>
      <c r="L32" s="12">
        <f t="shared" si="3"/>
        <v>0</v>
      </c>
    </row>
    <row r="33" spans="2:12" ht="15.75">
      <c r="B33" s="26">
        <v>45474</v>
      </c>
      <c r="C33" s="17" t="s">
        <v>24</v>
      </c>
      <c r="D33" s="10">
        <f>D13</f>
        <v>8.707</v>
      </c>
      <c r="E33" s="11">
        <f t="shared" si="0"/>
        <v>34.828</v>
      </c>
      <c r="F33" s="11">
        <v>0</v>
      </c>
      <c r="G33" s="33">
        <f t="shared" si="1"/>
        <v>0</v>
      </c>
      <c r="H33" s="18" t="s">
        <v>30</v>
      </c>
      <c r="I33" s="10">
        <v>0</v>
      </c>
      <c r="J33" s="10">
        <f t="shared" si="2"/>
        <v>9.908</v>
      </c>
      <c r="K33" s="10">
        <v>0</v>
      </c>
      <c r="L33" s="12">
        <f t="shared" si="3"/>
        <v>0</v>
      </c>
    </row>
    <row r="34" spans="2:12" ht="15.75">
      <c r="B34" s="26">
        <v>45536</v>
      </c>
      <c r="C34" s="18" t="s">
        <v>30</v>
      </c>
      <c r="D34" s="10">
        <v>0</v>
      </c>
      <c r="E34" s="11">
        <f t="shared" si="0"/>
        <v>34.828</v>
      </c>
      <c r="F34" s="11">
        <v>0</v>
      </c>
      <c r="G34" s="33">
        <f t="shared" si="1"/>
        <v>0</v>
      </c>
      <c r="H34" s="17" t="s">
        <v>24</v>
      </c>
      <c r="I34" s="10">
        <f>D4</f>
        <v>7.430999999999999</v>
      </c>
      <c r="J34" s="10">
        <f t="shared" si="2"/>
        <v>17.339</v>
      </c>
      <c r="K34" s="10">
        <v>0</v>
      </c>
      <c r="L34" s="12">
        <f t="shared" si="3"/>
        <v>0</v>
      </c>
    </row>
    <row r="35" spans="2:12" ht="15.75">
      <c r="B35" s="26">
        <v>45627</v>
      </c>
      <c r="C35" s="18" t="s">
        <v>30</v>
      </c>
      <c r="D35" s="10">
        <v>0</v>
      </c>
      <c r="E35" s="11">
        <f t="shared" si="0"/>
        <v>34.828</v>
      </c>
      <c r="F35" s="11">
        <v>0</v>
      </c>
      <c r="G35" s="33">
        <f t="shared" si="1"/>
        <v>0</v>
      </c>
      <c r="H35" s="17" t="s">
        <v>42</v>
      </c>
      <c r="I35" s="10">
        <f>K35</f>
        <v>-7.430999999999999</v>
      </c>
      <c r="J35" s="10">
        <f t="shared" si="2"/>
        <v>9.908</v>
      </c>
      <c r="K35" s="10">
        <f>-I34</f>
        <v>-7.430999999999999</v>
      </c>
      <c r="L35" s="12">
        <f t="shared" si="3"/>
        <v>-7.430999999999999</v>
      </c>
    </row>
    <row r="36" spans="2:12" ht="15.75">
      <c r="B36" s="26">
        <v>45627</v>
      </c>
      <c r="C36" s="18" t="s">
        <v>30</v>
      </c>
      <c r="D36" s="10">
        <v>0</v>
      </c>
      <c r="E36" s="11">
        <f t="shared" si="0"/>
        <v>34.828</v>
      </c>
      <c r="F36" s="11">
        <v>0</v>
      </c>
      <c r="G36" s="33">
        <f t="shared" si="1"/>
        <v>0</v>
      </c>
      <c r="H36" s="17" t="s">
        <v>26</v>
      </c>
      <c r="I36" s="10">
        <f>D5</f>
        <v>2.477</v>
      </c>
      <c r="J36" s="10">
        <f t="shared" si="2"/>
        <v>12.385</v>
      </c>
      <c r="K36" s="10">
        <v>0</v>
      </c>
      <c r="L36" s="12">
        <f t="shared" si="3"/>
        <v>-7.430999999999999</v>
      </c>
    </row>
    <row r="37" spans="2:12" ht="15.75">
      <c r="B37" s="26">
        <v>45627</v>
      </c>
      <c r="C37" s="17" t="s">
        <v>25</v>
      </c>
      <c r="D37" s="10">
        <v>0</v>
      </c>
      <c r="E37" s="11">
        <f>D37+E33</f>
        <v>34.828</v>
      </c>
      <c r="F37" s="11">
        <v>0</v>
      </c>
      <c r="G37" s="33">
        <f t="shared" si="1"/>
        <v>0</v>
      </c>
      <c r="H37" s="17" t="s">
        <v>25</v>
      </c>
      <c r="I37" s="10">
        <v>0</v>
      </c>
      <c r="J37" s="10">
        <f t="shared" si="2"/>
        <v>12.385</v>
      </c>
      <c r="K37" s="10">
        <v>0</v>
      </c>
      <c r="L37" s="12">
        <f t="shared" si="3"/>
        <v>-7.430999999999999</v>
      </c>
    </row>
    <row r="38" spans="2:12" ht="15.75">
      <c r="B38" s="26">
        <v>45658</v>
      </c>
      <c r="C38" s="17" t="s">
        <v>52</v>
      </c>
      <c r="D38" s="10">
        <v>0</v>
      </c>
      <c r="E38" s="11">
        <f aca="true" t="shared" si="4" ref="E38:E41">D38+E34</f>
        <v>34.828</v>
      </c>
      <c r="F38" s="11">
        <v>0</v>
      </c>
      <c r="G38" s="33">
        <f t="shared" si="1"/>
        <v>0</v>
      </c>
      <c r="H38" s="17" t="s">
        <v>52</v>
      </c>
      <c r="I38" s="10">
        <v>0</v>
      </c>
      <c r="J38" s="10">
        <f t="shared" si="2"/>
        <v>12.385</v>
      </c>
      <c r="K38" s="10">
        <v>0</v>
      </c>
      <c r="L38" s="12">
        <f t="shared" si="3"/>
        <v>-7.430999999999999</v>
      </c>
    </row>
    <row r="39" spans="2:12" ht="15.75">
      <c r="B39" s="26">
        <v>45689</v>
      </c>
      <c r="C39" s="18" t="s">
        <v>30</v>
      </c>
      <c r="D39" s="10">
        <v>0</v>
      </c>
      <c r="E39" s="11">
        <f t="shared" si="4"/>
        <v>34.828</v>
      </c>
      <c r="F39" s="11">
        <v>0</v>
      </c>
      <c r="G39" s="33">
        <f t="shared" si="1"/>
        <v>0</v>
      </c>
      <c r="H39" s="18" t="s">
        <v>54</v>
      </c>
      <c r="I39" s="10">
        <f>-I36</f>
        <v>-2.477</v>
      </c>
      <c r="J39" s="10">
        <f t="shared" si="2"/>
        <v>9.908</v>
      </c>
      <c r="K39" s="10">
        <v>0</v>
      </c>
      <c r="L39" s="12">
        <f t="shared" si="3"/>
        <v>-7.430999999999999</v>
      </c>
    </row>
    <row r="40" spans="2:12" ht="15.75">
      <c r="B40" s="26">
        <v>45689</v>
      </c>
      <c r="C40" s="18" t="s">
        <v>22</v>
      </c>
      <c r="D40" s="10">
        <v>0</v>
      </c>
      <c r="E40" s="11">
        <f t="shared" si="4"/>
        <v>34.828</v>
      </c>
      <c r="F40" s="11">
        <v>0</v>
      </c>
      <c r="G40" s="33">
        <f t="shared" si="1"/>
        <v>0</v>
      </c>
      <c r="H40" s="18" t="s">
        <v>22</v>
      </c>
      <c r="I40" s="10">
        <v>0</v>
      </c>
      <c r="J40" s="10">
        <f t="shared" si="2"/>
        <v>9.908</v>
      </c>
      <c r="K40" s="10">
        <v>0</v>
      </c>
      <c r="L40" s="12">
        <f t="shared" si="3"/>
        <v>-7.430999999999999</v>
      </c>
    </row>
    <row r="41" spans="2:12" ht="17" thickBot="1">
      <c r="B41" s="27">
        <v>45717</v>
      </c>
      <c r="C41" s="32" t="s">
        <v>53</v>
      </c>
      <c r="D41" s="14">
        <f>-E39</f>
        <v>-34.828</v>
      </c>
      <c r="E41" s="15">
        <f t="shared" si="4"/>
        <v>0</v>
      </c>
      <c r="F41" s="15">
        <v>0</v>
      </c>
      <c r="G41" s="34">
        <f t="shared" si="1"/>
        <v>0</v>
      </c>
      <c r="H41" s="19" t="s">
        <v>51</v>
      </c>
      <c r="I41" s="14">
        <f>-I18-I19-I21-I24</f>
        <v>-9.908</v>
      </c>
      <c r="J41" s="14">
        <f t="shared" si="2"/>
        <v>0</v>
      </c>
      <c r="K41" s="14">
        <v>0</v>
      </c>
      <c r="L41" s="16">
        <f t="shared" si="3"/>
        <v>-7.430999999999999</v>
      </c>
    </row>
    <row r="42" spans="2:12" ht="15.75">
      <c r="B42" s="4"/>
      <c r="C42" s="17"/>
      <c r="D42" s="9"/>
      <c r="E42" s="9"/>
      <c r="F42" s="9"/>
      <c r="G42" s="9"/>
      <c r="H42" s="17"/>
      <c r="I42" s="9"/>
      <c r="J42" s="9"/>
      <c r="K42" s="9"/>
      <c r="L42" s="20"/>
    </row>
    <row r="43" spans="3:12" ht="15.75">
      <c r="C43" s="17"/>
      <c r="D43" s="9"/>
      <c r="E43" s="9"/>
      <c r="F43" s="9"/>
      <c r="G43" s="9"/>
      <c r="H43" s="17"/>
      <c r="I43" s="9"/>
      <c r="J43" s="9"/>
      <c r="K43" s="9"/>
      <c r="L43" s="20"/>
    </row>
    <row r="44" spans="3:12" ht="15.75">
      <c r="C44" s="17"/>
      <c r="D44" s="21" t="s">
        <v>50</v>
      </c>
      <c r="E44" s="9">
        <f>MAX(E18:E41)</f>
        <v>34.828</v>
      </c>
      <c r="F44" s="9"/>
      <c r="G44" s="9"/>
      <c r="H44" s="17"/>
      <c r="I44" s="21" t="s">
        <v>27</v>
      </c>
      <c r="J44" s="35">
        <f>MAX(J18:J41)</f>
        <v>23.118666666666666</v>
      </c>
      <c r="K44" s="9"/>
      <c r="L44" s="20"/>
    </row>
    <row r="45" spans="3:12" ht="15.75">
      <c r="C45" s="17"/>
      <c r="D45" s="21" t="s">
        <v>28</v>
      </c>
      <c r="E45" s="22">
        <f>E44/D3</f>
        <v>3.515139281388777</v>
      </c>
      <c r="F45" s="9"/>
      <c r="G45" s="9"/>
      <c r="H45" s="17"/>
      <c r="I45" s="21" t="s">
        <v>28</v>
      </c>
      <c r="J45" s="22">
        <f>J44/D3</f>
        <v>2.3333333333333335</v>
      </c>
      <c r="K45" s="9"/>
      <c r="L45" s="20"/>
    </row>
    <row r="46" spans="3:12" ht="15.75">
      <c r="C46" s="17"/>
      <c r="D46" s="21" t="s">
        <v>72</v>
      </c>
      <c r="E46" s="11">
        <f>G41</f>
        <v>0</v>
      </c>
      <c r="F46" s="9"/>
      <c r="G46" s="9"/>
      <c r="H46" s="17"/>
      <c r="I46" s="21" t="s">
        <v>72</v>
      </c>
      <c r="J46" s="11">
        <f>-L41</f>
        <v>7.430999999999999</v>
      </c>
      <c r="K46" s="9"/>
      <c r="L46" s="20"/>
    </row>
    <row r="47" spans="3:12" ht="17" thickBot="1">
      <c r="C47" s="19"/>
      <c r="D47" s="23" t="s">
        <v>29</v>
      </c>
      <c r="E47" s="24">
        <f>E46/D3</f>
        <v>0</v>
      </c>
      <c r="F47" s="13"/>
      <c r="G47" s="13"/>
      <c r="H47" s="19"/>
      <c r="I47" s="23" t="s">
        <v>29</v>
      </c>
      <c r="J47" s="24">
        <f>J46/D3</f>
        <v>0.75</v>
      </c>
      <c r="K47" s="13"/>
      <c r="L47" s="25"/>
    </row>
    <row r="48" spans="8:12" ht="15.75">
      <c r="H48" s="9"/>
      <c r="I48" s="9"/>
      <c r="J48" s="9"/>
      <c r="K48" s="9"/>
      <c r="L48" s="9"/>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F0A46-DB3B-AD44-8E4A-AFD53A369290}">
  <dimension ref="A1:L62"/>
  <sheetViews>
    <sheetView workbookViewId="0" topLeftCell="A1">
      <selection activeCell="A2" sqref="A2"/>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83</v>
      </c>
    </row>
    <row r="2" ht="17" thickBot="1"/>
    <row r="3" spans="1:4" ht="17" thickBot="1">
      <c r="A3" s="39" t="s">
        <v>66</v>
      </c>
      <c r="B3" s="40"/>
      <c r="C3" s="40"/>
      <c r="D3" s="41">
        <f>4*Assumptions!C2*Assumptions!C15</f>
        <v>9.908</v>
      </c>
    </row>
    <row r="4" spans="1:4" ht="15.75">
      <c r="A4" s="42" t="s">
        <v>67</v>
      </c>
      <c r="B4" s="43"/>
      <c r="C4" s="43"/>
      <c r="D4" s="44">
        <f>Assumptions!C2*Assumptions!C15*3</f>
        <v>7.430999999999999</v>
      </c>
    </row>
    <row r="5" spans="1:4" ht="15.75">
      <c r="A5" s="45" t="s">
        <v>68</v>
      </c>
      <c r="B5" s="38"/>
      <c r="C5" s="38"/>
      <c r="D5" s="46">
        <f>Assumptions!C2*Assumptions!C15*1</f>
        <v>2.477</v>
      </c>
    </row>
    <row r="6" spans="1:5" ht="15.75">
      <c r="A6" s="45" t="s">
        <v>69</v>
      </c>
      <c r="B6" s="38"/>
      <c r="C6" s="38"/>
      <c r="D6" s="46">
        <f>Assumptions!C2*Assumptions!C15*0</f>
        <v>0</v>
      </c>
      <c r="E6" s="5"/>
    </row>
    <row r="7" spans="1:5" ht="17" thickBot="1">
      <c r="A7" s="47" t="s">
        <v>70</v>
      </c>
      <c r="B7" s="48"/>
      <c r="C7" s="48"/>
      <c r="D7" s="49">
        <f>Assumptions!C2*Assumptions!C15*0</f>
        <v>0</v>
      </c>
      <c r="E7" s="5"/>
    </row>
    <row r="8" spans="1:5" ht="15.75">
      <c r="A8" s="42" t="s">
        <v>38</v>
      </c>
      <c r="B8" s="43"/>
      <c r="C8" s="43"/>
      <c r="D8" s="44">
        <f>Assumptions!C2*Assumptions!C21*3</f>
        <v>7.593</v>
      </c>
      <c r="E8" s="5"/>
    </row>
    <row r="9" spans="1:5" ht="15.75">
      <c r="A9" s="45" t="s">
        <v>39</v>
      </c>
      <c r="B9" s="38"/>
      <c r="C9" s="38"/>
      <c r="D9" s="46">
        <f>Assumptions!C2*Assumptions!C21*1</f>
        <v>2.531</v>
      </c>
      <c r="E9" s="5"/>
    </row>
    <row r="10" spans="1:5" ht="15.75">
      <c r="A10" s="45" t="s">
        <v>40</v>
      </c>
      <c r="B10" s="38"/>
      <c r="C10" s="38"/>
      <c r="D10" s="46">
        <v>0</v>
      </c>
      <c r="E10" s="5"/>
    </row>
    <row r="11" spans="1:5" ht="17" thickBot="1">
      <c r="A11" s="47" t="s">
        <v>41</v>
      </c>
      <c r="B11" s="48"/>
      <c r="C11" s="48"/>
      <c r="D11" s="49">
        <v>0</v>
      </c>
      <c r="E11" s="5"/>
    </row>
    <row r="12" ht="15.75">
      <c r="D12" s="5"/>
    </row>
    <row r="13" spans="1:4" ht="15.75">
      <c r="A13" t="s">
        <v>32</v>
      </c>
      <c r="D13" s="5">
        <f>Assumptions!C14</f>
        <v>8.707</v>
      </c>
    </row>
    <row r="14" spans="1:4" ht="15.75">
      <c r="A14" t="s">
        <v>31</v>
      </c>
      <c r="D14" s="5">
        <f>MIN(D13,(D3/3))</f>
        <v>3.3026666666666666</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1.3026666666666666</v>
      </c>
      <c r="J19" s="10">
        <f>J18+I19</f>
        <v>3.3026666666666666</v>
      </c>
      <c r="K19" s="10">
        <v>0</v>
      </c>
      <c r="L19" s="12">
        <f>K19+L18</f>
        <v>0</v>
      </c>
    </row>
    <row r="20" spans="2:12" ht="15.75">
      <c r="B20" s="26">
        <v>44228</v>
      </c>
      <c r="C20" s="17" t="s">
        <v>75</v>
      </c>
      <c r="D20" s="10">
        <v>0</v>
      </c>
      <c r="E20" s="11">
        <f aca="true" t="shared" si="0" ref="E20:E55">D20+E19</f>
        <v>8.707</v>
      </c>
      <c r="F20" s="11">
        <v>0</v>
      </c>
      <c r="G20" s="33">
        <f aca="true" t="shared" si="1" ref="G20:G55">F20+G19</f>
        <v>0</v>
      </c>
      <c r="H20" s="17" t="s">
        <v>75</v>
      </c>
      <c r="I20" s="10">
        <v>0</v>
      </c>
      <c r="J20" s="10">
        <f aca="true" t="shared" si="2" ref="J20:J55">J19+I20</f>
        <v>3.3026666666666666</v>
      </c>
      <c r="K20" s="10">
        <v>0</v>
      </c>
      <c r="L20" s="12">
        <f aca="true" t="shared" si="3" ref="L20:L55">K20+L19</f>
        <v>0</v>
      </c>
    </row>
    <row r="21" spans="2:12" ht="15.75">
      <c r="B21" s="26">
        <v>44562</v>
      </c>
      <c r="C21" s="17" t="s">
        <v>17</v>
      </c>
      <c r="D21" s="10">
        <f>D13</f>
        <v>8.707</v>
      </c>
      <c r="E21" s="11">
        <f t="shared" si="0"/>
        <v>17.414</v>
      </c>
      <c r="F21" s="11">
        <v>0</v>
      </c>
      <c r="G21" s="33">
        <f t="shared" si="1"/>
        <v>0</v>
      </c>
      <c r="H21" s="17" t="s">
        <v>17</v>
      </c>
      <c r="I21" s="10">
        <f>D14</f>
        <v>3.3026666666666666</v>
      </c>
      <c r="J21" s="10">
        <f t="shared" si="2"/>
        <v>6.605333333333333</v>
      </c>
      <c r="K21" s="10">
        <v>0</v>
      </c>
      <c r="L21" s="12">
        <f t="shared" si="3"/>
        <v>0</v>
      </c>
    </row>
    <row r="22" spans="2:12" ht="15.75">
      <c r="B22" s="26">
        <v>44562</v>
      </c>
      <c r="C22" s="18" t="s">
        <v>30</v>
      </c>
      <c r="D22" s="10">
        <v>0</v>
      </c>
      <c r="E22" s="11">
        <f t="shared" si="0"/>
        <v>17.414</v>
      </c>
      <c r="F22" s="11">
        <v>0</v>
      </c>
      <c r="G22" s="33">
        <f t="shared" si="1"/>
        <v>0</v>
      </c>
      <c r="H22" s="17" t="s">
        <v>33</v>
      </c>
      <c r="I22" s="10">
        <f>MIN((1*D14),(D3/6))</f>
        <v>1.6513333333333333</v>
      </c>
      <c r="J22" s="10">
        <f t="shared" si="2"/>
        <v>8.256666666666666</v>
      </c>
      <c r="K22" s="10">
        <v>0</v>
      </c>
      <c r="L22" s="12">
        <f t="shared" si="3"/>
        <v>0</v>
      </c>
    </row>
    <row r="23" spans="2:12" ht="15.75">
      <c r="B23" s="26">
        <v>44593</v>
      </c>
      <c r="C23" s="17" t="s">
        <v>16</v>
      </c>
      <c r="D23" s="10">
        <v>0</v>
      </c>
      <c r="E23" s="11">
        <f t="shared" si="0"/>
        <v>17.414</v>
      </c>
      <c r="F23" s="11">
        <v>0</v>
      </c>
      <c r="G23" s="33">
        <f t="shared" si="1"/>
        <v>0</v>
      </c>
      <c r="H23" s="17" t="s">
        <v>16</v>
      </c>
      <c r="I23" s="10">
        <v>0</v>
      </c>
      <c r="J23" s="10">
        <f t="shared" si="2"/>
        <v>8.256666666666666</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3.3026666666666666</v>
      </c>
      <c r="J24" s="10">
        <f t="shared" si="2"/>
        <v>11.559333333333333</v>
      </c>
      <c r="K24" s="10">
        <v>0</v>
      </c>
      <c r="L24" s="12">
        <f t="shared" si="3"/>
        <v>0</v>
      </c>
    </row>
    <row r="25" spans="2:12" ht="15.75">
      <c r="B25" s="26">
        <v>44927</v>
      </c>
      <c r="C25" s="18" t="s">
        <v>30</v>
      </c>
      <c r="D25" s="10">
        <v>0</v>
      </c>
      <c r="E25" s="11">
        <f t="shared" si="0"/>
        <v>26.121000000000002</v>
      </c>
      <c r="F25" s="11">
        <v>0</v>
      </c>
      <c r="G25" s="33">
        <f t="shared" si="1"/>
        <v>0</v>
      </c>
      <c r="H25" s="17" t="s">
        <v>34</v>
      </c>
      <c r="I25" s="10">
        <f>MIN((3*D14),(D3/2))-I22</f>
        <v>3.302666666666666</v>
      </c>
      <c r="J25" s="10">
        <f t="shared" si="2"/>
        <v>14.861999999999998</v>
      </c>
      <c r="K25" s="10">
        <v>0</v>
      </c>
      <c r="L25" s="12">
        <f t="shared" si="3"/>
        <v>0</v>
      </c>
    </row>
    <row r="26" spans="2:12" ht="15.75">
      <c r="B26" s="26">
        <v>44958</v>
      </c>
      <c r="C26" s="17" t="s">
        <v>18</v>
      </c>
      <c r="D26" s="10">
        <v>0</v>
      </c>
      <c r="E26" s="11">
        <f t="shared" si="0"/>
        <v>26.121000000000002</v>
      </c>
      <c r="F26" s="11">
        <v>0</v>
      </c>
      <c r="G26" s="33">
        <f t="shared" si="1"/>
        <v>0</v>
      </c>
      <c r="H26" s="17" t="s">
        <v>18</v>
      </c>
      <c r="I26" s="10">
        <v>0</v>
      </c>
      <c r="J26" s="10">
        <f t="shared" si="2"/>
        <v>14.861999999999998</v>
      </c>
      <c r="K26" s="10">
        <v>0</v>
      </c>
      <c r="L26" s="12">
        <f t="shared" si="3"/>
        <v>0</v>
      </c>
    </row>
    <row r="27" spans="2:12" ht="15.75">
      <c r="B27" s="26">
        <v>45292</v>
      </c>
      <c r="C27" s="18" t="s">
        <v>30</v>
      </c>
      <c r="D27" s="10">
        <v>0</v>
      </c>
      <c r="E27" s="11">
        <f t="shared" si="0"/>
        <v>26.121000000000002</v>
      </c>
      <c r="F27" s="11">
        <v>0</v>
      </c>
      <c r="G27" s="33">
        <f t="shared" si="1"/>
        <v>0</v>
      </c>
      <c r="H27" s="17" t="s">
        <v>21</v>
      </c>
      <c r="I27" s="10">
        <f>D14</f>
        <v>3.3026666666666666</v>
      </c>
      <c r="J27" s="10">
        <f t="shared" si="2"/>
        <v>18.164666666666665</v>
      </c>
      <c r="K27" s="10">
        <v>0</v>
      </c>
      <c r="L27" s="12">
        <f t="shared" si="3"/>
        <v>0</v>
      </c>
    </row>
    <row r="28" spans="2:12" ht="15.75">
      <c r="B28" s="26">
        <v>45292</v>
      </c>
      <c r="C28" s="18" t="s">
        <v>30</v>
      </c>
      <c r="D28" s="10">
        <v>0</v>
      </c>
      <c r="E28" s="11">
        <f t="shared" si="0"/>
        <v>26.121000000000002</v>
      </c>
      <c r="F28" s="11">
        <v>0</v>
      </c>
      <c r="G28" s="33">
        <f t="shared" si="1"/>
        <v>0</v>
      </c>
      <c r="H28" s="17" t="s">
        <v>35</v>
      </c>
      <c r="I28" s="10">
        <f>MIN((6*D14),(D3))-I25-I22</f>
        <v>4.954</v>
      </c>
      <c r="J28" s="10">
        <f t="shared" si="2"/>
        <v>23.118666666666666</v>
      </c>
      <c r="K28" s="10">
        <v>0</v>
      </c>
      <c r="L28" s="12">
        <f t="shared" si="3"/>
        <v>0</v>
      </c>
    </row>
    <row r="29" spans="2:12" ht="15.75">
      <c r="B29" s="26">
        <v>45323</v>
      </c>
      <c r="C29" s="17" t="s">
        <v>20</v>
      </c>
      <c r="D29" s="10">
        <v>0</v>
      </c>
      <c r="E29" s="11">
        <f t="shared" si="0"/>
        <v>26.121000000000002</v>
      </c>
      <c r="F29" s="11">
        <v>0</v>
      </c>
      <c r="G29" s="33">
        <f t="shared" si="1"/>
        <v>0</v>
      </c>
      <c r="H29" s="17" t="s">
        <v>20</v>
      </c>
      <c r="I29" s="10">
        <v>0</v>
      </c>
      <c r="J29" s="10">
        <f t="shared" si="2"/>
        <v>23.118666666666666</v>
      </c>
      <c r="K29" s="10">
        <v>0</v>
      </c>
      <c r="L29" s="12">
        <f t="shared" si="3"/>
        <v>0</v>
      </c>
    </row>
    <row r="30" spans="2:12" ht="15.75">
      <c r="B30" s="26">
        <v>45444</v>
      </c>
      <c r="C30" s="17" t="s">
        <v>23</v>
      </c>
      <c r="D30" s="10">
        <v>0</v>
      </c>
      <c r="E30" s="11">
        <f t="shared" si="0"/>
        <v>26.121000000000002</v>
      </c>
      <c r="F30" s="11">
        <v>0</v>
      </c>
      <c r="G30" s="33">
        <f t="shared" si="1"/>
        <v>0</v>
      </c>
      <c r="H30" s="17" t="s">
        <v>23</v>
      </c>
      <c r="I30" s="10">
        <v>0</v>
      </c>
      <c r="J30" s="10">
        <f t="shared" si="2"/>
        <v>23.118666666666666</v>
      </c>
      <c r="K30" s="10">
        <v>0</v>
      </c>
      <c r="L30" s="12">
        <f t="shared" si="3"/>
        <v>0</v>
      </c>
    </row>
    <row r="31" spans="2:12" ht="15.75">
      <c r="B31" s="26">
        <v>45474</v>
      </c>
      <c r="C31" s="17" t="s">
        <v>24</v>
      </c>
      <c r="D31" s="10">
        <f>D13</f>
        <v>8.707</v>
      </c>
      <c r="E31" s="11">
        <f t="shared" si="0"/>
        <v>34.828</v>
      </c>
      <c r="F31" s="11">
        <v>0</v>
      </c>
      <c r="G31" s="33">
        <f t="shared" si="1"/>
        <v>0</v>
      </c>
      <c r="H31" s="18" t="s">
        <v>30</v>
      </c>
      <c r="I31" s="10">
        <v>0</v>
      </c>
      <c r="J31" s="10">
        <f t="shared" si="2"/>
        <v>23.118666666666666</v>
      </c>
      <c r="K31" s="10">
        <v>0</v>
      </c>
      <c r="L31" s="12">
        <f t="shared" si="3"/>
        <v>0</v>
      </c>
    </row>
    <row r="32" spans="2:12" ht="15.75">
      <c r="B32" s="26">
        <v>45536</v>
      </c>
      <c r="C32" s="18" t="s">
        <v>30</v>
      </c>
      <c r="D32" s="10">
        <v>0</v>
      </c>
      <c r="E32" s="11">
        <f t="shared" si="0"/>
        <v>34.828</v>
      </c>
      <c r="F32" s="11">
        <v>0</v>
      </c>
      <c r="G32" s="33">
        <f t="shared" si="1"/>
        <v>0</v>
      </c>
      <c r="H32" s="17" t="s">
        <v>24</v>
      </c>
      <c r="I32" s="10">
        <f>D4</f>
        <v>7.430999999999999</v>
      </c>
      <c r="J32" s="10">
        <f t="shared" si="2"/>
        <v>30.549666666666667</v>
      </c>
      <c r="K32" s="10">
        <v>0</v>
      </c>
      <c r="L32" s="12">
        <f t="shared" si="3"/>
        <v>0</v>
      </c>
    </row>
    <row r="33" spans="2:12" ht="15.75">
      <c r="B33" s="26">
        <v>45627</v>
      </c>
      <c r="C33" s="18" t="s">
        <v>30</v>
      </c>
      <c r="D33" s="10">
        <v>0</v>
      </c>
      <c r="E33" s="11">
        <f t="shared" si="0"/>
        <v>34.828</v>
      </c>
      <c r="F33" s="11">
        <v>0</v>
      </c>
      <c r="G33" s="33">
        <f t="shared" si="1"/>
        <v>0</v>
      </c>
      <c r="H33" s="17" t="s">
        <v>42</v>
      </c>
      <c r="I33" s="10">
        <f>K33</f>
        <v>-7.430999999999999</v>
      </c>
      <c r="J33" s="10">
        <f t="shared" si="2"/>
        <v>23.11866666666667</v>
      </c>
      <c r="K33" s="10">
        <f>-I32</f>
        <v>-7.430999999999999</v>
      </c>
      <c r="L33" s="12">
        <f t="shared" si="3"/>
        <v>-7.430999999999999</v>
      </c>
    </row>
    <row r="34" spans="2:12" ht="15.75">
      <c r="B34" s="26">
        <v>45627</v>
      </c>
      <c r="C34" s="18" t="s">
        <v>30</v>
      </c>
      <c r="D34" s="10">
        <v>0</v>
      </c>
      <c r="E34" s="11">
        <f t="shared" si="0"/>
        <v>34.828</v>
      </c>
      <c r="F34" s="11">
        <v>0</v>
      </c>
      <c r="G34" s="33">
        <f t="shared" si="1"/>
        <v>0</v>
      </c>
      <c r="H34" s="17" t="s">
        <v>26</v>
      </c>
      <c r="I34" s="10">
        <f>D5</f>
        <v>2.477</v>
      </c>
      <c r="J34" s="10">
        <f t="shared" si="2"/>
        <v>25.59566666666667</v>
      </c>
      <c r="K34" s="10">
        <v>0</v>
      </c>
      <c r="L34" s="12">
        <f t="shared" si="3"/>
        <v>-7.430999999999999</v>
      </c>
    </row>
    <row r="35" spans="2:12" ht="15.75">
      <c r="B35" s="26">
        <v>45658</v>
      </c>
      <c r="C35" s="18" t="s">
        <v>26</v>
      </c>
      <c r="D35" s="10">
        <f>D13</f>
        <v>8.707</v>
      </c>
      <c r="E35" s="11">
        <f t="shared" si="0"/>
        <v>43.535000000000004</v>
      </c>
      <c r="F35" s="11">
        <v>0</v>
      </c>
      <c r="G35" s="33">
        <f t="shared" si="1"/>
        <v>0</v>
      </c>
      <c r="H35" s="18" t="s">
        <v>30</v>
      </c>
      <c r="I35" s="10">
        <v>0</v>
      </c>
      <c r="J35" s="10">
        <f t="shared" si="2"/>
        <v>25.59566666666667</v>
      </c>
      <c r="K35" s="10">
        <v>0</v>
      </c>
      <c r="L35" s="12">
        <f t="shared" si="3"/>
        <v>-7.430999999999999</v>
      </c>
    </row>
    <row r="36" spans="2:12" ht="15.75">
      <c r="B36" s="26">
        <v>45689</v>
      </c>
      <c r="C36" s="18" t="s">
        <v>22</v>
      </c>
      <c r="D36" s="10">
        <v>0</v>
      </c>
      <c r="E36" s="11">
        <f t="shared" si="0"/>
        <v>43.535000000000004</v>
      </c>
      <c r="F36" s="11">
        <v>0</v>
      </c>
      <c r="G36" s="33">
        <f t="shared" si="1"/>
        <v>0</v>
      </c>
      <c r="H36" s="18" t="s">
        <v>22</v>
      </c>
      <c r="I36" s="10">
        <v>0</v>
      </c>
      <c r="J36" s="10">
        <f t="shared" si="2"/>
        <v>25.59566666666667</v>
      </c>
      <c r="K36" s="11">
        <v>0</v>
      </c>
      <c r="L36" s="12">
        <f t="shared" si="3"/>
        <v>-7.430999999999999</v>
      </c>
    </row>
    <row r="37" spans="2:12" ht="15.75">
      <c r="B37" s="26">
        <v>45717</v>
      </c>
      <c r="C37" s="18" t="s">
        <v>30</v>
      </c>
      <c r="D37" s="10">
        <v>0</v>
      </c>
      <c r="E37" s="11">
        <f t="shared" si="0"/>
        <v>43.535000000000004</v>
      </c>
      <c r="F37" s="11">
        <v>0</v>
      </c>
      <c r="G37" s="33">
        <f t="shared" si="1"/>
        <v>0</v>
      </c>
      <c r="H37" s="17" t="s">
        <v>57</v>
      </c>
      <c r="I37" s="10">
        <f>K37</f>
        <v>-2.477</v>
      </c>
      <c r="J37" s="10">
        <f t="shared" si="2"/>
        <v>23.11866666666667</v>
      </c>
      <c r="K37" s="10">
        <f>-I34</f>
        <v>-2.477</v>
      </c>
      <c r="L37" s="12">
        <f t="shared" si="3"/>
        <v>-9.908</v>
      </c>
    </row>
    <row r="38" spans="2:12" ht="15.75">
      <c r="B38" s="26">
        <v>45717</v>
      </c>
      <c r="C38" s="18" t="s">
        <v>30</v>
      </c>
      <c r="D38" s="10">
        <v>0</v>
      </c>
      <c r="E38" s="11">
        <f t="shared" si="0"/>
        <v>43.535000000000004</v>
      </c>
      <c r="F38" s="11">
        <v>0</v>
      </c>
      <c r="G38" s="33">
        <f t="shared" si="1"/>
        <v>0</v>
      </c>
      <c r="H38" s="17" t="s">
        <v>55</v>
      </c>
      <c r="I38" s="10">
        <f>D6</f>
        <v>0</v>
      </c>
      <c r="J38" s="10">
        <f t="shared" si="2"/>
        <v>23.11866666666667</v>
      </c>
      <c r="K38" s="10">
        <v>0</v>
      </c>
      <c r="L38" s="12">
        <f t="shared" si="3"/>
        <v>-9.908</v>
      </c>
    </row>
    <row r="39" spans="2:12" ht="15.75">
      <c r="B39" s="26">
        <v>45778</v>
      </c>
      <c r="C39" s="18" t="s">
        <v>30</v>
      </c>
      <c r="D39" s="10">
        <v>0</v>
      </c>
      <c r="E39" s="11">
        <f t="shared" si="0"/>
        <v>43.535000000000004</v>
      </c>
      <c r="F39" s="11">
        <v>0</v>
      </c>
      <c r="G39" s="33">
        <f t="shared" si="1"/>
        <v>0</v>
      </c>
      <c r="H39" s="17" t="s">
        <v>58</v>
      </c>
      <c r="I39" s="10">
        <f>K39</f>
        <v>0</v>
      </c>
      <c r="J39" s="10">
        <f t="shared" si="2"/>
        <v>23.11866666666667</v>
      </c>
      <c r="K39" s="10">
        <f>-I38</f>
        <v>0</v>
      </c>
      <c r="L39" s="12">
        <f t="shared" si="3"/>
        <v>-9.908</v>
      </c>
    </row>
    <row r="40" spans="2:12" ht="15.75">
      <c r="B40" s="26">
        <v>45809</v>
      </c>
      <c r="C40" s="18" t="s">
        <v>30</v>
      </c>
      <c r="D40" s="10">
        <v>0</v>
      </c>
      <c r="E40" s="11">
        <f t="shared" si="0"/>
        <v>43.535000000000004</v>
      </c>
      <c r="F40" s="11">
        <v>0</v>
      </c>
      <c r="G40" s="33">
        <f t="shared" si="1"/>
        <v>0</v>
      </c>
      <c r="H40" s="17" t="s">
        <v>56</v>
      </c>
      <c r="I40" s="10">
        <f>D7</f>
        <v>0</v>
      </c>
      <c r="J40" s="10">
        <f t="shared" si="2"/>
        <v>23.11866666666667</v>
      </c>
      <c r="K40" s="10">
        <v>0</v>
      </c>
      <c r="L40" s="12">
        <f t="shared" si="3"/>
        <v>-9.908</v>
      </c>
    </row>
    <row r="41" spans="2:12" ht="15.75">
      <c r="B41" s="26">
        <v>45839</v>
      </c>
      <c r="C41" s="18" t="s">
        <v>55</v>
      </c>
      <c r="D41" s="10">
        <f>D13</f>
        <v>8.707</v>
      </c>
      <c r="E41" s="11">
        <f t="shared" si="0"/>
        <v>52.242000000000004</v>
      </c>
      <c r="F41" s="11">
        <v>0</v>
      </c>
      <c r="G41" s="33">
        <f t="shared" si="1"/>
        <v>0</v>
      </c>
      <c r="H41" s="18" t="s">
        <v>30</v>
      </c>
      <c r="I41" s="10">
        <v>0</v>
      </c>
      <c r="J41" s="10">
        <f t="shared" si="2"/>
        <v>23.11866666666667</v>
      </c>
      <c r="K41" s="10">
        <v>0</v>
      </c>
      <c r="L41" s="12">
        <f t="shared" si="3"/>
        <v>-9.908</v>
      </c>
    </row>
    <row r="42" spans="2:12" ht="15.75">
      <c r="B42" s="26">
        <v>45839</v>
      </c>
      <c r="C42" s="18" t="s">
        <v>30</v>
      </c>
      <c r="D42" s="10">
        <v>0</v>
      </c>
      <c r="E42" s="11">
        <f t="shared" si="0"/>
        <v>52.242000000000004</v>
      </c>
      <c r="F42" s="11">
        <v>0</v>
      </c>
      <c r="G42" s="33">
        <f t="shared" si="1"/>
        <v>0</v>
      </c>
      <c r="H42" s="17" t="s">
        <v>36</v>
      </c>
      <c r="I42" s="10">
        <v>0</v>
      </c>
      <c r="J42" s="10">
        <f t="shared" si="2"/>
        <v>23.11866666666667</v>
      </c>
      <c r="K42" s="10">
        <v>0</v>
      </c>
      <c r="L42" s="12">
        <f t="shared" si="3"/>
        <v>-9.908</v>
      </c>
    </row>
    <row r="43" spans="2:12" ht="15.75">
      <c r="B43" s="26">
        <v>45901</v>
      </c>
      <c r="C43" s="18" t="s">
        <v>30</v>
      </c>
      <c r="D43" s="10">
        <v>0</v>
      </c>
      <c r="E43" s="11">
        <f t="shared" si="0"/>
        <v>52.242000000000004</v>
      </c>
      <c r="F43" s="11">
        <v>0</v>
      </c>
      <c r="G43" s="33">
        <f t="shared" si="1"/>
        <v>0</v>
      </c>
      <c r="H43" s="36" t="s">
        <v>59</v>
      </c>
      <c r="I43" s="10">
        <f>K43</f>
        <v>0</v>
      </c>
      <c r="J43" s="10">
        <f t="shared" si="2"/>
        <v>23.11866666666667</v>
      </c>
      <c r="K43" s="10">
        <f>-I40</f>
        <v>0</v>
      </c>
      <c r="L43" s="12">
        <f t="shared" si="3"/>
        <v>-9.908</v>
      </c>
    </row>
    <row r="44" spans="2:12" ht="15.75">
      <c r="B44" s="26">
        <v>45901</v>
      </c>
      <c r="C44" s="18" t="s">
        <v>30</v>
      </c>
      <c r="D44" s="10">
        <v>0</v>
      </c>
      <c r="E44" s="11">
        <f t="shared" si="0"/>
        <v>52.242000000000004</v>
      </c>
      <c r="F44" s="11">
        <v>0</v>
      </c>
      <c r="G44" s="33">
        <f t="shared" si="1"/>
        <v>0</v>
      </c>
      <c r="H44" s="36" t="s">
        <v>37</v>
      </c>
      <c r="I44" s="10">
        <f>-I27-I22-I25-I28</f>
        <v>-13.210666666666665</v>
      </c>
      <c r="J44" s="10">
        <f t="shared" si="2"/>
        <v>9.908000000000005</v>
      </c>
      <c r="K44" s="10">
        <v>0</v>
      </c>
      <c r="L44" s="12">
        <f t="shared" si="3"/>
        <v>-9.908</v>
      </c>
    </row>
    <row r="45" spans="2:12" ht="15.75">
      <c r="B45" s="26">
        <v>45901</v>
      </c>
      <c r="C45" s="18" t="s">
        <v>30</v>
      </c>
      <c r="D45" s="10">
        <v>0</v>
      </c>
      <c r="E45" s="11">
        <f t="shared" si="0"/>
        <v>52.242000000000004</v>
      </c>
      <c r="F45" s="11">
        <v>0</v>
      </c>
      <c r="G45" s="33">
        <f t="shared" si="1"/>
        <v>0</v>
      </c>
      <c r="H45" s="36" t="s">
        <v>60</v>
      </c>
      <c r="I45" s="10">
        <f>D8</f>
        <v>7.593</v>
      </c>
      <c r="J45" s="10">
        <f t="shared" si="2"/>
        <v>17.501000000000005</v>
      </c>
      <c r="K45" s="10">
        <v>0</v>
      </c>
      <c r="L45" s="12">
        <f t="shared" si="3"/>
        <v>-9.908</v>
      </c>
    </row>
    <row r="46" spans="2:12" ht="15.75">
      <c r="B46" s="26">
        <v>45992</v>
      </c>
      <c r="C46" s="18" t="s">
        <v>30</v>
      </c>
      <c r="D46" s="10">
        <v>0</v>
      </c>
      <c r="E46" s="11">
        <f t="shared" si="0"/>
        <v>52.242000000000004</v>
      </c>
      <c r="F46" s="11">
        <v>0</v>
      </c>
      <c r="G46" s="33">
        <f t="shared" si="1"/>
        <v>0</v>
      </c>
      <c r="H46" s="36" t="s">
        <v>61</v>
      </c>
      <c r="I46" s="10">
        <f>K46</f>
        <v>-7.593</v>
      </c>
      <c r="J46" s="10">
        <f t="shared" si="2"/>
        <v>9.908000000000005</v>
      </c>
      <c r="K46" s="10">
        <f>-I45</f>
        <v>-7.593</v>
      </c>
      <c r="L46" s="12">
        <f t="shared" si="3"/>
        <v>-17.500999999999998</v>
      </c>
    </row>
    <row r="47" spans="2:12" ht="15.75">
      <c r="B47" s="26">
        <v>45992</v>
      </c>
      <c r="C47" s="18" t="s">
        <v>30</v>
      </c>
      <c r="D47" s="10">
        <v>0</v>
      </c>
      <c r="E47" s="11">
        <f t="shared" si="0"/>
        <v>52.242000000000004</v>
      </c>
      <c r="F47" s="11">
        <v>0</v>
      </c>
      <c r="G47" s="33">
        <f t="shared" si="1"/>
        <v>0</v>
      </c>
      <c r="H47" s="36" t="s">
        <v>62</v>
      </c>
      <c r="I47" s="10">
        <f>D9</f>
        <v>2.531</v>
      </c>
      <c r="J47" s="10">
        <f t="shared" si="2"/>
        <v>12.439000000000005</v>
      </c>
      <c r="K47" s="10">
        <v>0</v>
      </c>
      <c r="L47" s="12">
        <f t="shared" si="3"/>
        <v>-17.500999999999998</v>
      </c>
    </row>
    <row r="48" spans="2:12" ht="15.75">
      <c r="B48" s="26">
        <v>46023</v>
      </c>
      <c r="C48" s="18" t="s">
        <v>56</v>
      </c>
      <c r="D48" s="10">
        <f>D13</f>
        <v>8.707</v>
      </c>
      <c r="E48" s="11">
        <f t="shared" si="0"/>
        <v>60.949000000000005</v>
      </c>
      <c r="F48" s="11">
        <v>0</v>
      </c>
      <c r="G48" s="33">
        <f t="shared" si="1"/>
        <v>0</v>
      </c>
      <c r="H48" s="37" t="s">
        <v>30</v>
      </c>
      <c r="I48" s="10">
        <v>0</v>
      </c>
      <c r="J48" s="10">
        <f t="shared" si="2"/>
        <v>12.439000000000005</v>
      </c>
      <c r="K48" s="10">
        <v>0</v>
      </c>
      <c r="L48" s="12">
        <f t="shared" si="3"/>
        <v>-17.500999999999998</v>
      </c>
    </row>
    <row r="49" spans="2:12" ht="15.75">
      <c r="B49" s="26">
        <v>46054</v>
      </c>
      <c r="C49" s="18" t="s">
        <v>76</v>
      </c>
      <c r="D49" s="10">
        <v>0</v>
      </c>
      <c r="E49" s="11">
        <f t="shared" si="0"/>
        <v>60.949000000000005</v>
      </c>
      <c r="F49" s="11">
        <v>0</v>
      </c>
      <c r="G49" s="33">
        <f t="shared" si="1"/>
        <v>0</v>
      </c>
      <c r="H49" s="18" t="s">
        <v>76</v>
      </c>
      <c r="I49" s="10">
        <v>0</v>
      </c>
      <c r="J49" s="10">
        <f t="shared" si="2"/>
        <v>12.439000000000005</v>
      </c>
      <c r="K49" s="11">
        <v>0</v>
      </c>
      <c r="L49" s="12">
        <f t="shared" si="3"/>
        <v>-17.500999999999998</v>
      </c>
    </row>
    <row r="50" spans="2:12" ht="15.75">
      <c r="B50" s="26">
        <v>46082</v>
      </c>
      <c r="C50" s="18" t="s">
        <v>30</v>
      </c>
      <c r="D50" s="10">
        <v>0</v>
      </c>
      <c r="E50" s="11">
        <f t="shared" si="0"/>
        <v>60.949000000000005</v>
      </c>
      <c r="F50" s="11">
        <v>0</v>
      </c>
      <c r="G50" s="33">
        <f t="shared" si="1"/>
        <v>0</v>
      </c>
      <c r="H50" s="37" t="s">
        <v>74</v>
      </c>
      <c r="I50" s="10">
        <f>K50</f>
        <v>-2.531</v>
      </c>
      <c r="J50" s="10">
        <f t="shared" si="2"/>
        <v>9.908000000000005</v>
      </c>
      <c r="K50" s="10">
        <f>-I47</f>
        <v>-2.531</v>
      </c>
      <c r="L50" s="12">
        <f t="shared" si="3"/>
        <v>-20.031999999999996</v>
      </c>
    </row>
    <row r="51" spans="2:12" ht="15.75">
      <c r="B51" s="26">
        <v>46082</v>
      </c>
      <c r="C51" s="18" t="s">
        <v>30</v>
      </c>
      <c r="D51" s="10">
        <v>0</v>
      </c>
      <c r="E51" s="11">
        <f t="shared" si="0"/>
        <v>60.949000000000005</v>
      </c>
      <c r="F51" s="11">
        <v>0</v>
      </c>
      <c r="G51" s="33">
        <f t="shared" si="1"/>
        <v>0</v>
      </c>
      <c r="H51" s="36" t="s">
        <v>63</v>
      </c>
      <c r="I51" s="10">
        <f>D10</f>
        <v>0</v>
      </c>
      <c r="J51" s="10">
        <f t="shared" si="2"/>
        <v>9.908000000000005</v>
      </c>
      <c r="K51" s="10">
        <v>0</v>
      </c>
      <c r="L51" s="12">
        <f t="shared" si="3"/>
        <v>-20.031999999999996</v>
      </c>
    </row>
    <row r="52" spans="2:12" ht="15.75">
      <c r="B52" s="26">
        <v>46113</v>
      </c>
      <c r="C52" s="17" t="s">
        <v>25</v>
      </c>
      <c r="D52" s="10">
        <v>0</v>
      </c>
      <c r="E52" s="11">
        <f t="shared" si="0"/>
        <v>60.949000000000005</v>
      </c>
      <c r="F52" s="11">
        <v>0</v>
      </c>
      <c r="G52" s="33">
        <f t="shared" si="1"/>
        <v>0</v>
      </c>
      <c r="H52" s="17" t="s">
        <v>25</v>
      </c>
      <c r="I52" s="10">
        <v>0</v>
      </c>
      <c r="J52" s="10">
        <f t="shared" si="2"/>
        <v>9.908000000000005</v>
      </c>
      <c r="K52" s="10">
        <v>0</v>
      </c>
      <c r="L52" s="12">
        <f t="shared" si="3"/>
        <v>-20.031999999999996</v>
      </c>
    </row>
    <row r="53" spans="2:12" ht="15.75">
      <c r="B53" s="26">
        <v>46143</v>
      </c>
      <c r="C53" s="17" t="s">
        <v>52</v>
      </c>
      <c r="D53" s="10">
        <v>0</v>
      </c>
      <c r="E53" s="11">
        <f t="shared" si="0"/>
        <v>60.949000000000005</v>
      </c>
      <c r="F53" s="11">
        <v>0</v>
      </c>
      <c r="G53" s="33">
        <f t="shared" si="1"/>
        <v>0</v>
      </c>
      <c r="H53" s="17" t="s">
        <v>52</v>
      </c>
      <c r="I53" s="10">
        <v>0</v>
      </c>
      <c r="J53" s="10">
        <f t="shared" si="2"/>
        <v>9.908000000000005</v>
      </c>
      <c r="K53" s="10">
        <v>0</v>
      </c>
      <c r="L53" s="12">
        <f t="shared" si="3"/>
        <v>-20.031999999999996</v>
      </c>
    </row>
    <row r="54" spans="2:12" ht="15.75">
      <c r="B54" s="26">
        <v>46174</v>
      </c>
      <c r="C54" s="18" t="s">
        <v>30</v>
      </c>
      <c r="D54" s="10">
        <v>0</v>
      </c>
      <c r="E54" s="11">
        <f t="shared" si="0"/>
        <v>60.949000000000005</v>
      </c>
      <c r="F54" s="11">
        <v>0</v>
      </c>
      <c r="G54" s="33">
        <f t="shared" si="1"/>
        <v>0</v>
      </c>
      <c r="H54" s="18" t="s">
        <v>54</v>
      </c>
      <c r="I54" s="10">
        <f>-I51</f>
        <v>0</v>
      </c>
      <c r="J54" s="10">
        <f t="shared" si="2"/>
        <v>9.908000000000005</v>
      </c>
      <c r="K54" s="10">
        <v>0</v>
      </c>
      <c r="L54" s="12">
        <f t="shared" si="3"/>
        <v>-20.031999999999996</v>
      </c>
    </row>
    <row r="55" spans="2:12" ht="17" thickBot="1">
      <c r="B55" s="27">
        <v>46204</v>
      </c>
      <c r="C55" s="32" t="s">
        <v>53</v>
      </c>
      <c r="D55" s="14">
        <f>-E54</f>
        <v>-60.949000000000005</v>
      </c>
      <c r="E55" s="15">
        <f t="shared" si="0"/>
        <v>0</v>
      </c>
      <c r="F55" s="15">
        <v>0</v>
      </c>
      <c r="G55" s="34">
        <f t="shared" si="1"/>
        <v>0</v>
      </c>
      <c r="H55" s="19" t="s">
        <v>51</v>
      </c>
      <c r="I55" s="14">
        <f>-I18-I19-I21-I24</f>
        <v>-9.908</v>
      </c>
      <c r="J55" s="14">
        <f t="shared" si="2"/>
        <v>0</v>
      </c>
      <c r="K55" s="14">
        <v>0</v>
      </c>
      <c r="L55" s="16">
        <f t="shared" si="3"/>
        <v>-20.031999999999996</v>
      </c>
    </row>
    <row r="56" spans="2:12" ht="15.75">
      <c r="B56" s="4"/>
      <c r="C56" s="17"/>
      <c r="D56" s="9"/>
      <c r="E56" s="9"/>
      <c r="F56" s="9"/>
      <c r="G56" s="9"/>
      <c r="H56" s="17"/>
      <c r="I56" s="9"/>
      <c r="J56" s="9"/>
      <c r="K56" s="9"/>
      <c r="L56" s="20"/>
    </row>
    <row r="57" spans="3:12" ht="15.75">
      <c r="C57" s="17"/>
      <c r="D57" s="9"/>
      <c r="E57" s="9"/>
      <c r="F57" s="9"/>
      <c r="G57" s="9"/>
      <c r="H57" s="17"/>
      <c r="I57" s="9"/>
      <c r="J57" s="9"/>
      <c r="K57" s="9"/>
      <c r="L57" s="20"/>
    </row>
    <row r="58" spans="3:12" ht="15.75">
      <c r="C58" s="17"/>
      <c r="D58" s="21" t="s">
        <v>50</v>
      </c>
      <c r="E58" s="11">
        <f>MAX(E18:E55)</f>
        <v>60.949000000000005</v>
      </c>
      <c r="F58" s="9"/>
      <c r="G58" s="9"/>
      <c r="H58" s="17"/>
      <c r="I58" s="21" t="s">
        <v>27</v>
      </c>
      <c r="J58" s="11">
        <f>MAX(J18:J55)</f>
        <v>30.549666666666667</v>
      </c>
      <c r="K58" s="9"/>
      <c r="L58" s="20"/>
    </row>
    <row r="59" spans="3:12" ht="15.75">
      <c r="C59" s="17"/>
      <c r="D59" s="21" t="s">
        <v>28</v>
      </c>
      <c r="E59" s="22">
        <f>E58/D3</f>
        <v>6.15149374243036</v>
      </c>
      <c r="F59" s="9"/>
      <c r="G59" s="9"/>
      <c r="H59" s="17"/>
      <c r="I59" s="21" t="s">
        <v>28</v>
      </c>
      <c r="J59" s="22">
        <f>J58/D3</f>
        <v>3.0833333333333335</v>
      </c>
      <c r="K59" s="9"/>
      <c r="L59" s="20"/>
    </row>
    <row r="60" spans="3:12" ht="15.75">
      <c r="C60" s="17"/>
      <c r="D60" s="21" t="s">
        <v>72</v>
      </c>
      <c r="E60" s="11">
        <f>G55</f>
        <v>0</v>
      </c>
      <c r="F60" s="9"/>
      <c r="G60" s="9"/>
      <c r="H60" s="17"/>
      <c r="I60" s="21" t="s">
        <v>72</v>
      </c>
      <c r="J60" s="11">
        <f>-L55</f>
        <v>20.031999999999996</v>
      </c>
      <c r="K60" s="9"/>
      <c r="L60" s="20"/>
    </row>
    <row r="61" spans="3:12" ht="17" thickBot="1">
      <c r="C61" s="19"/>
      <c r="D61" s="23" t="s">
        <v>29</v>
      </c>
      <c r="E61" s="24">
        <f>G55/D3</f>
        <v>0</v>
      </c>
      <c r="F61" s="13"/>
      <c r="G61" s="13"/>
      <c r="H61" s="19"/>
      <c r="I61" s="23" t="s">
        <v>29</v>
      </c>
      <c r="J61" s="24">
        <f>J60/D3</f>
        <v>2.0218005651998383</v>
      </c>
      <c r="K61" s="13"/>
      <c r="L61" s="25"/>
    </row>
    <row r="62" spans="8:12" ht="15.75">
      <c r="H62" s="9"/>
      <c r="I62" s="9"/>
      <c r="J62" s="9"/>
      <c r="K62" s="9"/>
      <c r="L62" s="9"/>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909C-FD17-4945-9C57-A2C08B0E0069}">
  <dimension ref="A1:L64"/>
  <sheetViews>
    <sheetView workbookViewId="0" topLeftCell="A1">
      <selection activeCell="M47" sqref="M47"/>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84</v>
      </c>
    </row>
    <row r="2" ht="17" thickBot="1"/>
    <row r="3" spans="1:4" ht="17" thickBot="1">
      <c r="A3" s="39" t="s">
        <v>66</v>
      </c>
      <c r="B3" s="40"/>
      <c r="C3" s="40"/>
      <c r="D3" s="41">
        <f>4*Assumptions!C2*Assumptions!C15</f>
        <v>9.908</v>
      </c>
    </row>
    <row r="4" spans="1:4" ht="15.75">
      <c r="A4" s="42" t="s">
        <v>67</v>
      </c>
      <c r="B4" s="43"/>
      <c r="C4" s="43"/>
      <c r="D4" s="44">
        <f>Assumptions!C2*Assumptions!C15*3</f>
        <v>7.430999999999999</v>
      </c>
    </row>
    <row r="5" spans="1:4" ht="15.75">
      <c r="A5" s="45" t="s">
        <v>68</v>
      </c>
      <c r="B5" s="38"/>
      <c r="C5" s="38"/>
      <c r="D5" s="46">
        <f>Assumptions!C2*Assumptions!C15*1</f>
        <v>2.477</v>
      </c>
    </row>
    <row r="6" spans="1:5" ht="15.75">
      <c r="A6" s="45" t="s">
        <v>69</v>
      </c>
      <c r="B6" s="38"/>
      <c r="C6" s="38"/>
      <c r="D6" s="46">
        <f>Assumptions!C2*Assumptions!C15*0</f>
        <v>0</v>
      </c>
      <c r="E6" s="5"/>
    </row>
    <row r="7" spans="1:5" ht="17" thickBot="1">
      <c r="A7" s="47" t="s">
        <v>70</v>
      </c>
      <c r="B7" s="48"/>
      <c r="C7" s="48"/>
      <c r="D7" s="49">
        <f>Assumptions!C2*Assumptions!C15*0</f>
        <v>0</v>
      </c>
      <c r="E7" s="5"/>
    </row>
    <row r="8" spans="1:5" ht="15.75">
      <c r="A8" s="42" t="s">
        <v>38</v>
      </c>
      <c r="B8" s="43"/>
      <c r="C8" s="43"/>
      <c r="D8" s="44">
        <f>Assumptions!C2*Assumptions!C21*3</f>
        <v>7.593</v>
      </c>
      <c r="E8" s="5"/>
    </row>
    <row r="9" spans="1:5" ht="15.75">
      <c r="A9" s="45" t="s">
        <v>39</v>
      </c>
      <c r="B9" s="38"/>
      <c r="C9" s="38"/>
      <c r="D9" s="46">
        <f>Assumptions!C2*Assumptions!C21*1</f>
        <v>2.531</v>
      </c>
      <c r="E9" s="5"/>
    </row>
    <row r="10" spans="1:5" ht="15.75">
      <c r="A10" s="45" t="s">
        <v>40</v>
      </c>
      <c r="B10" s="38"/>
      <c r="C10" s="38"/>
      <c r="D10" s="46">
        <v>0</v>
      </c>
      <c r="E10" s="5"/>
    </row>
    <row r="11" spans="1:5" ht="17" thickBot="1">
      <c r="A11" s="47" t="s">
        <v>41</v>
      </c>
      <c r="B11" s="48"/>
      <c r="C11" s="48"/>
      <c r="D11" s="49">
        <v>0</v>
      </c>
      <c r="E11" s="5"/>
    </row>
    <row r="12" ht="15.75">
      <c r="D12" s="5"/>
    </row>
    <row r="13" spans="1:4" ht="15.75">
      <c r="A13" t="s">
        <v>32</v>
      </c>
      <c r="D13" s="5">
        <f>Assumptions!C14</f>
        <v>8.707</v>
      </c>
    </row>
    <row r="14" spans="1:4" ht="15.75">
      <c r="A14" t="s">
        <v>31</v>
      </c>
      <c r="D14" s="5">
        <f>MIN(D13,(D3/3))</f>
        <v>3.3026666666666666</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1.3026666666666666</v>
      </c>
      <c r="J19" s="10">
        <f>J18+I19</f>
        <v>3.3026666666666666</v>
      </c>
      <c r="K19" s="10">
        <v>0</v>
      </c>
      <c r="L19" s="12">
        <f>K19+L18</f>
        <v>0</v>
      </c>
    </row>
    <row r="20" spans="2:12" ht="15.75">
      <c r="B20" s="26">
        <v>44228</v>
      </c>
      <c r="C20" s="17" t="s">
        <v>75</v>
      </c>
      <c r="D20" s="10">
        <v>0</v>
      </c>
      <c r="E20" s="11">
        <f aca="true" t="shared" si="0" ref="E20:E57">D20+E19</f>
        <v>8.707</v>
      </c>
      <c r="F20" s="11">
        <v>0</v>
      </c>
      <c r="G20" s="33">
        <f aca="true" t="shared" si="1" ref="G20:G57">F20+G19</f>
        <v>0</v>
      </c>
      <c r="H20" s="17" t="s">
        <v>75</v>
      </c>
      <c r="I20" s="10">
        <v>0</v>
      </c>
      <c r="J20" s="10">
        <f aca="true" t="shared" si="2" ref="J20:J57">J19+I20</f>
        <v>3.3026666666666666</v>
      </c>
      <c r="K20" s="10">
        <v>0</v>
      </c>
      <c r="L20" s="12">
        <f aca="true" t="shared" si="3" ref="L20:L57">K20+L19</f>
        <v>0</v>
      </c>
    </row>
    <row r="21" spans="2:12" ht="15.75">
      <c r="B21" s="26">
        <v>44562</v>
      </c>
      <c r="C21" s="17" t="s">
        <v>17</v>
      </c>
      <c r="D21" s="10">
        <f>D13</f>
        <v>8.707</v>
      </c>
      <c r="E21" s="11">
        <f t="shared" si="0"/>
        <v>17.414</v>
      </c>
      <c r="F21" s="11">
        <v>0</v>
      </c>
      <c r="G21" s="33">
        <f t="shared" si="1"/>
        <v>0</v>
      </c>
      <c r="H21" s="17" t="s">
        <v>17</v>
      </c>
      <c r="I21" s="10">
        <f>D14</f>
        <v>3.3026666666666666</v>
      </c>
      <c r="J21" s="10">
        <f t="shared" si="2"/>
        <v>6.605333333333333</v>
      </c>
      <c r="K21" s="10">
        <v>0</v>
      </c>
      <c r="L21" s="12">
        <f t="shared" si="3"/>
        <v>0</v>
      </c>
    </row>
    <row r="22" spans="2:12" ht="15.75">
      <c r="B22" s="26">
        <v>44562</v>
      </c>
      <c r="C22" s="18" t="s">
        <v>30</v>
      </c>
      <c r="D22" s="10">
        <v>0</v>
      </c>
      <c r="E22" s="11">
        <f t="shared" si="0"/>
        <v>17.414</v>
      </c>
      <c r="F22" s="11">
        <v>0</v>
      </c>
      <c r="G22" s="33">
        <f t="shared" si="1"/>
        <v>0</v>
      </c>
      <c r="H22" s="17" t="s">
        <v>33</v>
      </c>
      <c r="I22" s="10">
        <f>0*MIN((1*D14),(D3/6))</f>
        <v>0</v>
      </c>
      <c r="J22" s="10">
        <f t="shared" si="2"/>
        <v>6.605333333333333</v>
      </c>
      <c r="K22" s="10">
        <v>0</v>
      </c>
      <c r="L22" s="12">
        <f t="shared" si="3"/>
        <v>0</v>
      </c>
    </row>
    <row r="23" spans="2:12" ht="15.75">
      <c r="B23" s="26">
        <v>44593</v>
      </c>
      <c r="C23" s="17" t="s">
        <v>16</v>
      </c>
      <c r="D23" s="10">
        <v>0</v>
      </c>
      <c r="E23" s="11">
        <f t="shared" si="0"/>
        <v>17.414</v>
      </c>
      <c r="F23" s="11">
        <v>0</v>
      </c>
      <c r="G23" s="33">
        <f t="shared" si="1"/>
        <v>0</v>
      </c>
      <c r="H23" s="17" t="s">
        <v>16</v>
      </c>
      <c r="I23" s="10">
        <v>0</v>
      </c>
      <c r="J23" s="10">
        <f t="shared" si="2"/>
        <v>6.605333333333333</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3.3026666666666666</v>
      </c>
      <c r="J24" s="10">
        <f t="shared" si="2"/>
        <v>9.908</v>
      </c>
      <c r="K24" s="10">
        <v>0</v>
      </c>
      <c r="L24" s="12">
        <f t="shared" si="3"/>
        <v>0</v>
      </c>
    </row>
    <row r="25" spans="2:12" ht="15.75">
      <c r="B25" s="26">
        <v>44927</v>
      </c>
      <c r="C25" s="18" t="s">
        <v>30</v>
      </c>
      <c r="D25" s="10">
        <v>0</v>
      </c>
      <c r="E25" s="11">
        <f t="shared" si="0"/>
        <v>26.121000000000002</v>
      </c>
      <c r="F25" s="11">
        <v>0</v>
      </c>
      <c r="G25" s="33">
        <f t="shared" si="1"/>
        <v>0</v>
      </c>
      <c r="H25" s="17" t="s">
        <v>34</v>
      </c>
      <c r="I25" s="10">
        <f>0*MIN((3*D14),(D3/2))-I22</f>
        <v>0</v>
      </c>
      <c r="J25" s="10">
        <f t="shared" si="2"/>
        <v>9.908</v>
      </c>
      <c r="K25" s="10">
        <v>0</v>
      </c>
      <c r="L25" s="12">
        <f t="shared" si="3"/>
        <v>0</v>
      </c>
    </row>
    <row r="26" spans="2:12" ht="15.75">
      <c r="B26" s="26">
        <v>44958</v>
      </c>
      <c r="C26" s="17" t="s">
        <v>18</v>
      </c>
      <c r="D26" s="10">
        <v>0</v>
      </c>
      <c r="E26" s="11">
        <f t="shared" si="0"/>
        <v>26.121000000000002</v>
      </c>
      <c r="F26" s="11">
        <v>0</v>
      </c>
      <c r="G26" s="33">
        <f t="shared" si="1"/>
        <v>0</v>
      </c>
      <c r="H26" s="17" t="s">
        <v>18</v>
      </c>
      <c r="I26" s="10">
        <v>0</v>
      </c>
      <c r="J26" s="10">
        <f t="shared" si="2"/>
        <v>9.908</v>
      </c>
      <c r="K26" s="10">
        <v>0</v>
      </c>
      <c r="L26" s="12">
        <f t="shared" si="3"/>
        <v>0</v>
      </c>
    </row>
    <row r="27" spans="2:12" ht="15.75">
      <c r="B27" s="26">
        <v>45292</v>
      </c>
      <c r="C27" s="18" t="s">
        <v>30</v>
      </c>
      <c r="D27" s="10">
        <v>0</v>
      </c>
      <c r="E27" s="11">
        <f t="shared" si="0"/>
        <v>26.121000000000002</v>
      </c>
      <c r="F27" s="11">
        <v>0</v>
      </c>
      <c r="G27" s="33">
        <f t="shared" si="1"/>
        <v>0</v>
      </c>
      <c r="H27" s="17" t="s">
        <v>21</v>
      </c>
      <c r="I27" s="10">
        <f>D14</f>
        <v>3.3026666666666666</v>
      </c>
      <c r="J27" s="10">
        <f t="shared" si="2"/>
        <v>13.210666666666667</v>
      </c>
      <c r="K27" s="10">
        <v>0</v>
      </c>
      <c r="L27" s="12">
        <f t="shared" si="3"/>
        <v>0</v>
      </c>
    </row>
    <row r="28" spans="2:12" ht="15.75">
      <c r="B28" s="26">
        <v>45292</v>
      </c>
      <c r="C28" s="18" t="s">
        <v>30</v>
      </c>
      <c r="D28" s="10">
        <v>0</v>
      </c>
      <c r="E28" s="11">
        <f t="shared" si="0"/>
        <v>26.121000000000002</v>
      </c>
      <c r="F28" s="11">
        <v>0</v>
      </c>
      <c r="G28" s="33">
        <f t="shared" si="1"/>
        <v>0</v>
      </c>
      <c r="H28" s="17" t="s">
        <v>35</v>
      </c>
      <c r="I28" s="10">
        <f>0*MIN((6*D14),(D3))-I25-I22</f>
        <v>0</v>
      </c>
      <c r="J28" s="10">
        <f t="shared" si="2"/>
        <v>13.210666666666667</v>
      </c>
      <c r="K28" s="10">
        <v>0</v>
      </c>
      <c r="L28" s="12">
        <f t="shared" si="3"/>
        <v>0</v>
      </c>
    </row>
    <row r="29" spans="2:12" ht="15.75">
      <c r="B29" s="26">
        <v>45323</v>
      </c>
      <c r="C29" s="17" t="s">
        <v>20</v>
      </c>
      <c r="D29" s="10">
        <v>0</v>
      </c>
      <c r="E29" s="11">
        <f t="shared" si="0"/>
        <v>26.121000000000002</v>
      </c>
      <c r="F29" s="11">
        <v>0</v>
      </c>
      <c r="G29" s="33">
        <f t="shared" si="1"/>
        <v>0</v>
      </c>
      <c r="H29" s="17" t="s">
        <v>20</v>
      </c>
      <c r="I29" s="10">
        <v>0</v>
      </c>
      <c r="J29" s="10">
        <f t="shared" si="2"/>
        <v>13.210666666666667</v>
      </c>
      <c r="K29" s="10">
        <v>0</v>
      </c>
      <c r="L29" s="12">
        <f t="shared" si="3"/>
        <v>0</v>
      </c>
    </row>
    <row r="30" spans="2:12" ht="15.75">
      <c r="B30" s="26">
        <v>45444</v>
      </c>
      <c r="C30" s="17" t="s">
        <v>23</v>
      </c>
      <c r="D30" s="10">
        <v>0</v>
      </c>
      <c r="E30" s="11">
        <f t="shared" si="0"/>
        <v>26.121000000000002</v>
      </c>
      <c r="F30" s="11">
        <v>0</v>
      </c>
      <c r="G30" s="33">
        <f t="shared" si="1"/>
        <v>0</v>
      </c>
      <c r="H30" s="17" t="s">
        <v>23</v>
      </c>
      <c r="I30" s="10">
        <v>0</v>
      </c>
      <c r="J30" s="10">
        <f t="shared" si="2"/>
        <v>13.210666666666667</v>
      </c>
      <c r="K30" s="10">
        <v>0</v>
      </c>
      <c r="L30" s="12">
        <f t="shared" si="3"/>
        <v>0</v>
      </c>
    </row>
    <row r="31" spans="2:12" ht="15.75">
      <c r="B31" s="26">
        <v>45474</v>
      </c>
      <c r="C31" s="17" t="s">
        <v>24</v>
      </c>
      <c r="D31" s="10">
        <f>D13</f>
        <v>8.707</v>
      </c>
      <c r="E31" s="11">
        <f t="shared" si="0"/>
        <v>34.828</v>
      </c>
      <c r="F31" s="11">
        <v>0</v>
      </c>
      <c r="G31" s="33">
        <f t="shared" si="1"/>
        <v>0</v>
      </c>
      <c r="H31" s="18" t="s">
        <v>30</v>
      </c>
      <c r="I31" s="10">
        <v>0</v>
      </c>
      <c r="J31" s="10">
        <f t="shared" si="2"/>
        <v>13.210666666666667</v>
      </c>
      <c r="K31" s="10">
        <v>0</v>
      </c>
      <c r="L31" s="12">
        <f t="shared" si="3"/>
        <v>0</v>
      </c>
    </row>
    <row r="32" spans="2:12" ht="15.75">
      <c r="B32" s="26">
        <v>45536</v>
      </c>
      <c r="C32" s="18" t="s">
        <v>30</v>
      </c>
      <c r="D32" s="10">
        <v>0</v>
      </c>
      <c r="E32" s="11">
        <f t="shared" si="0"/>
        <v>34.828</v>
      </c>
      <c r="F32" s="11">
        <v>0</v>
      </c>
      <c r="G32" s="33">
        <f t="shared" si="1"/>
        <v>0</v>
      </c>
      <c r="H32" s="17" t="s">
        <v>24</v>
      </c>
      <c r="I32" s="10">
        <v>0</v>
      </c>
      <c r="J32" s="10">
        <f t="shared" si="2"/>
        <v>13.210666666666667</v>
      </c>
      <c r="K32" s="10">
        <v>0</v>
      </c>
      <c r="L32" s="12">
        <f t="shared" si="3"/>
        <v>0</v>
      </c>
    </row>
    <row r="33" spans="2:12" ht="15.75">
      <c r="B33" s="26">
        <v>45627</v>
      </c>
      <c r="C33" s="18" t="s">
        <v>30</v>
      </c>
      <c r="D33" s="10">
        <v>0</v>
      </c>
      <c r="E33" s="11">
        <f t="shared" si="0"/>
        <v>34.828</v>
      </c>
      <c r="F33" s="11">
        <v>0</v>
      </c>
      <c r="G33" s="33">
        <f t="shared" si="1"/>
        <v>0</v>
      </c>
      <c r="H33" s="17" t="s">
        <v>42</v>
      </c>
      <c r="I33" s="10">
        <f>K33</f>
        <v>0</v>
      </c>
      <c r="J33" s="10">
        <f t="shared" si="2"/>
        <v>13.210666666666667</v>
      </c>
      <c r="K33" s="10">
        <f>-I32</f>
        <v>0</v>
      </c>
      <c r="L33" s="12">
        <f t="shared" si="3"/>
        <v>0</v>
      </c>
    </row>
    <row r="34" spans="2:12" ht="15.75">
      <c r="B34" s="26">
        <v>45627</v>
      </c>
      <c r="C34" s="18" t="s">
        <v>30</v>
      </c>
      <c r="D34" s="10">
        <v>0</v>
      </c>
      <c r="E34" s="11">
        <f t="shared" si="0"/>
        <v>34.828</v>
      </c>
      <c r="F34" s="11">
        <v>0</v>
      </c>
      <c r="G34" s="33">
        <f t="shared" si="1"/>
        <v>0</v>
      </c>
      <c r="H34" s="17" t="s">
        <v>26</v>
      </c>
      <c r="I34" s="10">
        <v>0</v>
      </c>
      <c r="J34" s="10">
        <f t="shared" si="2"/>
        <v>13.210666666666667</v>
      </c>
      <c r="K34" s="10">
        <v>0</v>
      </c>
      <c r="L34" s="12">
        <f t="shared" si="3"/>
        <v>0</v>
      </c>
    </row>
    <row r="35" spans="2:12" ht="15.75">
      <c r="B35" s="26">
        <v>45658</v>
      </c>
      <c r="C35" s="18" t="s">
        <v>26</v>
      </c>
      <c r="D35" s="10">
        <f>D13</f>
        <v>8.707</v>
      </c>
      <c r="E35" s="11">
        <f t="shared" si="0"/>
        <v>43.535000000000004</v>
      </c>
      <c r="F35" s="11">
        <v>0</v>
      </c>
      <c r="G35" s="33">
        <f t="shared" si="1"/>
        <v>0</v>
      </c>
      <c r="H35" s="18" t="s">
        <v>30</v>
      </c>
      <c r="I35" s="10">
        <v>0</v>
      </c>
      <c r="J35" s="10">
        <f t="shared" si="2"/>
        <v>13.210666666666667</v>
      </c>
      <c r="K35" s="10">
        <v>0</v>
      </c>
      <c r="L35" s="12">
        <f t="shared" si="3"/>
        <v>0</v>
      </c>
    </row>
    <row r="36" spans="2:12" ht="15.75">
      <c r="B36" s="26">
        <v>45658</v>
      </c>
      <c r="C36" s="18" t="s">
        <v>30</v>
      </c>
      <c r="D36" s="10">
        <v>0</v>
      </c>
      <c r="E36" s="11"/>
      <c r="F36" s="11">
        <v>0</v>
      </c>
      <c r="G36" s="33"/>
      <c r="H36" s="18" t="s">
        <v>77</v>
      </c>
      <c r="I36" s="10">
        <f>D14</f>
        <v>3.3026666666666666</v>
      </c>
      <c r="J36" s="10">
        <f t="shared" si="2"/>
        <v>16.513333333333332</v>
      </c>
      <c r="K36" s="10">
        <v>0</v>
      </c>
      <c r="L36" s="12">
        <f t="shared" si="3"/>
        <v>0</v>
      </c>
    </row>
    <row r="37" spans="2:12" ht="15.75">
      <c r="B37" s="26">
        <v>45689</v>
      </c>
      <c r="C37" s="18" t="s">
        <v>22</v>
      </c>
      <c r="D37" s="10">
        <v>0</v>
      </c>
      <c r="E37" s="11">
        <f>D37+E35</f>
        <v>43.535000000000004</v>
      </c>
      <c r="F37" s="11">
        <v>0</v>
      </c>
      <c r="G37" s="33">
        <f>F37+G35</f>
        <v>0</v>
      </c>
      <c r="H37" s="18" t="s">
        <v>22</v>
      </c>
      <c r="I37" s="10">
        <v>0</v>
      </c>
      <c r="J37" s="10">
        <f t="shared" si="2"/>
        <v>16.513333333333332</v>
      </c>
      <c r="K37" s="10">
        <v>0</v>
      </c>
      <c r="L37" s="12">
        <f t="shared" si="3"/>
        <v>0</v>
      </c>
    </row>
    <row r="38" spans="2:12" ht="15.75">
      <c r="B38" s="26">
        <v>45717</v>
      </c>
      <c r="C38" s="18" t="s">
        <v>30</v>
      </c>
      <c r="D38" s="10">
        <v>0</v>
      </c>
      <c r="E38" s="11">
        <f t="shared" si="0"/>
        <v>43.535000000000004</v>
      </c>
      <c r="F38" s="11">
        <v>0</v>
      </c>
      <c r="G38" s="33">
        <f t="shared" si="1"/>
        <v>0</v>
      </c>
      <c r="H38" s="17" t="s">
        <v>57</v>
      </c>
      <c r="I38" s="10">
        <f>K38</f>
        <v>0</v>
      </c>
      <c r="J38" s="10">
        <f t="shared" si="2"/>
        <v>16.513333333333332</v>
      </c>
      <c r="K38" s="10">
        <v>0</v>
      </c>
      <c r="L38" s="12">
        <f t="shared" si="3"/>
        <v>0</v>
      </c>
    </row>
    <row r="39" spans="2:12" ht="15.75">
      <c r="B39" s="26">
        <v>45717</v>
      </c>
      <c r="C39" s="18" t="s">
        <v>30</v>
      </c>
      <c r="D39" s="10">
        <v>0</v>
      </c>
      <c r="E39" s="11">
        <f t="shared" si="0"/>
        <v>43.535000000000004</v>
      </c>
      <c r="F39" s="11">
        <v>0</v>
      </c>
      <c r="G39" s="33">
        <f t="shared" si="1"/>
        <v>0</v>
      </c>
      <c r="H39" s="17" t="s">
        <v>55</v>
      </c>
      <c r="I39" s="10">
        <v>0</v>
      </c>
      <c r="J39" s="10">
        <f t="shared" si="2"/>
        <v>16.513333333333332</v>
      </c>
      <c r="K39" s="10">
        <v>0</v>
      </c>
      <c r="L39" s="12">
        <f t="shared" si="3"/>
        <v>0</v>
      </c>
    </row>
    <row r="40" spans="2:12" ht="15.75">
      <c r="B40" s="26">
        <v>45778</v>
      </c>
      <c r="C40" s="18" t="s">
        <v>30</v>
      </c>
      <c r="D40" s="10">
        <v>0</v>
      </c>
      <c r="E40" s="11">
        <f t="shared" si="0"/>
        <v>43.535000000000004</v>
      </c>
      <c r="F40" s="11">
        <v>0</v>
      </c>
      <c r="G40" s="33">
        <f t="shared" si="1"/>
        <v>0</v>
      </c>
      <c r="H40" s="17" t="s">
        <v>58</v>
      </c>
      <c r="I40" s="10">
        <f>K40</f>
        <v>0</v>
      </c>
      <c r="J40" s="10">
        <f t="shared" si="2"/>
        <v>16.513333333333332</v>
      </c>
      <c r="K40" s="10">
        <v>0</v>
      </c>
      <c r="L40" s="12">
        <f t="shared" si="3"/>
        <v>0</v>
      </c>
    </row>
    <row r="41" spans="2:12" ht="15.75">
      <c r="B41" s="26">
        <v>45809</v>
      </c>
      <c r="C41" s="18" t="s">
        <v>30</v>
      </c>
      <c r="D41" s="10">
        <v>0</v>
      </c>
      <c r="E41" s="11">
        <f t="shared" si="0"/>
        <v>43.535000000000004</v>
      </c>
      <c r="F41" s="11">
        <v>0</v>
      </c>
      <c r="G41" s="33">
        <f t="shared" si="1"/>
        <v>0</v>
      </c>
      <c r="H41" s="17" t="s">
        <v>56</v>
      </c>
      <c r="I41" s="10">
        <v>0</v>
      </c>
      <c r="J41" s="10">
        <f t="shared" si="2"/>
        <v>16.513333333333332</v>
      </c>
      <c r="K41" s="10">
        <v>0</v>
      </c>
      <c r="L41" s="12">
        <f t="shared" si="3"/>
        <v>0</v>
      </c>
    </row>
    <row r="42" spans="2:12" ht="15.75">
      <c r="B42" s="26">
        <v>45839</v>
      </c>
      <c r="C42" s="18" t="s">
        <v>55</v>
      </c>
      <c r="D42" s="10">
        <f>D13</f>
        <v>8.707</v>
      </c>
      <c r="E42" s="11">
        <f t="shared" si="0"/>
        <v>52.242000000000004</v>
      </c>
      <c r="F42" s="11">
        <v>0</v>
      </c>
      <c r="G42" s="33">
        <f t="shared" si="1"/>
        <v>0</v>
      </c>
      <c r="H42" s="18" t="s">
        <v>30</v>
      </c>
      <c r="I42" s="10">
        <v>0</v>
      </c>
      <c r="J42" s="10">
        <f t="shared" si="2"/>
        <v>16.513333333333332</v>
      </c>
      <c r="K42" s="10">
        <v>0</v>
      </c>
      <c r="L42" s="12">
        <f t="shared" si="3"/>
        <v>0</v>
      </c>
    </row>
    <row r="43" spans="2:12" ht="15.75">
      <c r="B43" s="26">
        <v>45839</v>
      </c>
      <c r="C43" s="18" t="s">
        <v>30</v>
      </c>
      <c r="D43" s="10">
        <v>0</v>
      </c>
      <c r="E43" s="11">
        <f t="shared" si="0"/>
        <v>52.242000000000004</v>
      </c>
      <c r="F43" s="11">
        <v>0</v>
      </c>
      <c r="G43" s="33">
        <f t="shared" si="1"/>
        <v>0</v>
      </c>
      <c r="H43" s="17" t="s">
        <v>36</v>
      </c>
      <c r="I43" s="10">
        <v>0</v>
      </c>
      <c r="J43" s="10">
        <f t="shared" si="2"/>
        <v>16.513333333333332</v>
      </c>
      <c r="K43" s="10">
        <v>0</v>
      </c>
      <c r="L43" s="12">
        <f t="shared" si="3"/>
        <v>0</v>
      </c>
    </row>
    <row r="44" spans="2:12" ht="15.75">
      <c r="B44" s="26">
        <v>45901</v>
      </c>
      <c r="C44" s="18" t="s">
        <v>30</v>
      </c>
      <c r="D44" s="10">
        <v>0</v>
      </c>
      <c r="E44" s="11">
        <f t="shared" si="0"/>
        <v>52.242000000000004</v>
      </c>
      <c r="F44" s="11">
        <v>0</v>
      </c>
      <c r="G44" s="33">
        <f t="shared" si="1"/>
        <v>0</v>
      </c>
      <c r="H44" s="36" t="s">
        <v>59</v>
      </c>
      <c r="I44" s="10">
        <f>K44</f>
        <v>0</v>
      </c>
      <c r="J44" s="10">
        <f t="shared" si="2"/>
        <v>16.513333333333332</v>
      </c>
      <c r="K44" s="10">
        <v>0</v>
      </c>
      <c r="L44" s="12">
        <f t="shared" si="3"/>
        <v>0</v>
      </c>
    </row>
    <row r="45" spans="2:12" ht="15.75">
      <c r="B45" s="26">
        <v>45901</v>
      </c>
      <c r="C45" s="18" t="s">
        <v>30</v>
      </c>
      <c r="D45" s="10">
        <v>0</v>
      </c>
      <c r="E45" s="11">
        <f t="shared" si="0"/>
        <v>52.242000000000004</v>
      </c>
      <c r="F45" s="11">
        <v>0</v>
      </c>
      <c r="G45" s="33">
        <f t="shared" si="1"/>
        <v>0</v>
      </c>
      <c r="H45" s="36" t="s">
        <v>37</v>
      </c>
      <c r="I45" s="10">
        <f>-I27-I22-I25-I28-I36</f>
        <v>-6.605333333333333</v>
      </c>
      <c r="J45" s="10">
        <f t="shared" si="2"/>
        <v>9.907999999999998</v>
      </c>
      <c r="K45" s="10">
        <v>0</v>
      </c>
      <c r="L45" s="12">
        <f t="shared" si="3"/>
        <v>0</v>
      </c>
    </row>
    <row r="46" spans="2:12" ht="15.75">
      <c r="B46" s="26">
        <v>45901</v>
      </c>
      <c r="C46" s="18" t="s">
        <v>30</v>
      </c>
      <c r="D46" s="10">
        <v>0</v>
      </c>
      <c r="E46" s="11">
        <f t="shared" si="0"/>
        <v>52.242000000000004</v>
      </c>
      <c r="F46" s="11">
        <v>0</v>
      </c>
      <c r="G46" s="33">
        <f t="shared" si="1"/>
        <v>0</v>
      </c>
      <c r="H46" s="36" t="s">
        <v>60</v>
      </c>
      <c r="I46" s="10">
        <v>0</v>
      </c>
      <c r="J46" s="10">
        <f t="shared" si="2"/>
        <v>9.907999999999998</v>
      </c>
      <c r="K46" s="10">
        <v>0</v>
      </c>
      <c r="L46" s="12">
        <f t="shared" si="3"/>
        <v>0</v>
      </c>
    </row>
    <row r="47" spans="2:12" ht="15.75">
      <c r="B47" s="26">
        <v>45992</v>
      </c>
      <c r="C47" s="18" t="s">
        <v>30</v>
      </c>
      <c r="D47" s="10">
        <v>0</v>
      </c>
      <c r="E47" s="11">
        <f t="shared" si="0"/>
        <v>52.242000000000004</v>
      </c>
      <c r="F47" s="11">
        <v>0</v>
      </c>
      <c r="G47" s="33">
        <f t="shared" si="1"/>
        <v>0</v>
      </c>
      <c r="H47" s="36" t="s">
        <v>61</v>
      </c>
      <c r="I47" s="10">
        <f>K47</f>
        <v>0</v>
      </c>
      <c r="J47" s="10">
        <f t="shared" si="2"/>
        <v>9.907999999999998</v>
      </c>
      <c r="K47" s="10">
        <v>0</v>
      </c>
      <c r="L47" s="12">
        <f t="shared" si="3"/>
        <v>0</v>
      </c>
    </row>
    <row r="48" spans="2:12" ht="15.75">
      <c r="B48" s="26">
        <v>45992</v>
      </c>
      <c r="C48" s="18" t="s">
        <v>30</v>
      </c>
      <c r="D48" s="10">
        <v>0</v>
      </c>
      <c r="E48" s="11">
        <f t="shared" si="0"/>
        <v>52.242000000000004</v>
      </c>
      <c r="F48" s="11">
        <v>0</v>
      </c>
      <c r="G48" s="33">
        <f t="shared" si="1"/>
        <v>0</v>
      </c>
      <c r="H48" s="36" t="s">
        <v>62</v>
      </c>
      <c r="I48" s="10">
        <v>0</v>
      </c>
      <c r="J48" s="10">
        <f t="shared" si="2"/>
        <v>9.907999999999998</v>
      </c>
      <c r="K48" s="10">
        <v>0</v>
      </c>
      <c r="L48" s="12">
        <f t="shared" si="3"/>
        <v>0</v>
      </c>
    </row>
    <row r="49" spans="2:12" ht="15.75">
      <c r="B49" s="26">
        <v>46023</v>
      </c>
      <c r="C49" s="18" t="s">
        <v>56</v>
      </c>
      <c r="D49" s="10">
        <f>D13</f>
        <v>8.707</v>
      </c>
      <c r="E49" s="11">
        <f t="shared" si="0"/>
        <v>60.949000000000005</v>
      </c>
      <c r="F49" s="11">
        <v>0</v>
      </c>
      <c r="G49" s="33">
        <f t="shared" si="1"/>
        <v>0</v>
      </c>
      <c r="H49" s="37" t="s">
        <v>30</v>
      </c>
      <c r="I49" s="10">
        <v>0</v>
      </c>
      <c r="J49" s="10">
        <f t="shared" si="2"/>
        <v>9.907999999999998</v>
      </c>
      <c r="K49" s="10">
        <v>0</v>
      </c>
      <c r="L49" s="12">
        <f t="shared" si="3"/>
        <v>0</v>
      </c>
    </row>
    <row r="50" spans="2:12" ht="15.75">
      <c r="B50" s="26">
        <v>46023</v>
      </c>
      <c r="C50" s="18" t="s">
        <v>30</v>
      </c>
      <c r="D50" s="10">
        <v>0</v>
      </c>
      <c r="E50" s="11"/>
      <c r="F50" s="11">
        <v>0</v>
      </c>
      <c r="G50" s="33"/>
      <c r="H50" s="37" t="s">
        <v>78</v>
      </c>
      <c r="I50" s="10">
        <v>0</v>
      </c>
      <c r="J50" s="10">
        <f t="shared" si="2"/>
        <v>9.907999999999998</v>
      </c>
      <c r="K50" s="10">
        <v>0</v>
      </c>
      <c r="L50" s="12">
        <f t="shared" si="3"/>
        <v>0</v>
      </c>
    </row>
    <row r="51" spans="2:12" ht="15.75">
      <c r="B51" s="26">
        <v>46054</v>
      </c>
      <c r="C51" s="18" t="s">
        <v>76</v>
      </c>
      <c r="D51" s="10">
        <v>0</v>
      </c>
      <c r="E51" s="11">
        <f>D51+E49</f>
        <v>60.949000000000005</v>
      </c>
      <c r="F51" s="11">
        <v>0</v>
      </c>
      <c r="G51" s="33">
        <f>F51+G49</f>
        <v>0</v>
      </c>
      <c r="H51" s="18" t="s">
        <v>76</v>
      </c>
      <c r="I51" s="10">
        <v>0</v>
      </c>
      <c r="J51" s="10">
        <f t="shared" si="2"/>
        <v>9.907999999999998</v>
      </c>
      <c r="K51" s="10">
        <v>0</v>
      </c>
      <c r="L51" s="12">
        <f t="shared" si="3"/>
        <v>0</v>
      </c>
    </row>
    <row r="52" spans="2:12" ht="15.75">
      <c r="B52" s="26">
        <v>46082</v>
      </c>
      <c r="C52" s="18" t="s">
        <v>30</v>
      </c>
      <c r="D52" s="10">
        <v>0</v>
      </c>
      <c r="E52" s="11">
        <f t="shared" si="0"/>
        <v>60.949000000000005</v>
      </c>
      <c r="F52" s="11">
        <v>0</v>
      </c>
      <c r="G52" s="33">
        <f t="shared" si="1"/>
        <v>0</v>
      </c>
      <c r="H52" s="37" t="s">
        <v>74</v>
      </c>
      <c r="I52" s="10">
        <f>K52</f>
        <v>0</v>
      </c>
      <c r="J52" s="10">
        <f t="shared" si="2"/>
        <v>9.907999999999998</v>
      </c>
      <c r="K52" s="10">
        <v>0</v>
      </c>
      <c r="L52" s="12">
        <f t="shared" si="3"/>
        <v>0</v>
      </c>
    </row>
    <row r="53" spans="2:12" ht="15.75">
      <c r="B53" s="26">
        <v>46082</v>
      </c>
      <c r="C53" s="18" t="s">
        <v>30</v>
      </c>
      <c r="D53" s="10">
        <v>0</v>
      </c>
      <c r="E53" s="11">
        <f t="shared" si="0"/>
        <v>60.949000000000005</v>
      </c>
      <c r="F53" s="11">
        <v>0</v>
      </c>
      <c r="G53" s="33">
        <f t="shared" si="1"/>
        <v>0</v>
      </c>
      <c r="H53" s="36" t="s">
        <v>63</v>
      </c>
      <c r="I53" s="10">
        <v>0</v>
      </c>
      <c r="J53" s="10">
        <f t="shared" si="2"/>
        <v>9.907999999999998</v>
      </c>
      <c r="K53" s="10">
        <v>0</v>
      </c>
      <c r="L53" s="12">
        <f t="shared" si="3"/>
        <v>0</v>
      </c>
    </row>
    <row r="54" spans="2:12" ht="15.75">
      <c r="B54" s="26">
        <v>46113</v>
      </c>
      <c r="C54" s="17" t="s">
        <v>25</v>
      </c>
      <c r="D54" s="10">
        <v>0</v>
      </c>
      <c r="E54" s="11">
        <f t="shared" si="0"/>
        <v>60.949000000000005</v>
      </c>
      <c r="F54" s="11">
        <v>0</v>
      </c>
      <c r="G54" s="33">
        <f t="shared" si="1"/>
        <v>0</v>
      </c>
      <c r="H54" s="17" t="s">
        <v>25</v>
      </c>
      <c r="I54" s="10">
        <v>0</v>
      </c>
      <c r="J54" s="10">
        <f t="shared" si="2"/>
        <v>9.907999999999998</v>
      </c>
      <c r="K54" s="10">
        <v>0</v>
      </c>
      <c r="L54" s="12">
        <f t="shared" si="3"/>
        <v>0</v>
      </c>
    </row>
    <row r="55" spans="2:12" ht="15.75">
      <c r="B55" s="26">
        <v>46143</v>
      </c>
      <c r="C55" s="17" t="s">
        <v>52</v>
      </c>
      <c r="D55" s="10">
        <v>0</v>
      </c>
      <c r="E55" s="11">
        <f t="shared" si="0"/>
        <v>60.949000000000005</v>
      </c>
      <c r="F55" s="11">
        <v>0</v>
      </c>
      <c r="G55" s="33">
        <f t="shared" si="1"/>
        <v>0</v>
      </c>
      <c r="H55" s="17" t="s">
        <v>52</v>
      </c>
      <c r="I55" s="10">
        <v>0</v>
      </c>
      <c r="J55" s="10">
        <f t="shared" si="2"/>
        <v>9.907999999999998</v>
      </c>
      <c r="K55" s="10">
        <v>0</v>
      </c>
      <c r="L55" s="12">
        <f t="shared" si="3"/>
        <v>0</v>
      </c>
    </row>
    <row r="56" spans="2:12" ht="15.75">
      <c r="B56" s="26">
        <v>46174</v>
      </c>
      <c r="C56" s="18" t="s">
        <v>30</v>
      </c>
      <c r="D56" s="10">
        <v>0</v>
      </c>
      <c r="E56" s="11">
        <f t="shared" si="0"/>
        <v>60.949000000000005</v>
      </c>
      <c r="F56" s="11">
        <v>0</v>
      </c>
      <c r="G56" s="33">
        <f t="shared" si="1"/>
        <v>0</v>
      </c>
      <c r="H56" s="18" t="s">
        <v>54</v>
      </c>
      <c r="I56" s="10">
        <f>-I53</f>
        <v>0</v>
      </c>
      <c r="J56" s="10">
        <f t="shared" si="2"/>
        <v>9.907999999999998</v>
      </c>
      <c r="K56" s="10">
        <v>0</v>
      </c>
      <c r="L56" s="12">
        <f t="shared" si="3"/>
        <v>0</v>
      </c>
    </row>
    <row r="57" spans="2:12" ht="17" thickBot="1">
      <c r="B57" s="27">
        <v>46204</v>
      </c>
      <c r="C57" s="32" t="s">
        <v>53</v>
      </c>
      <c r="D57" s="14">
        <f>-E56</f>
        <v>-60.949000000000005</v>
      </c>
      <c r="E57" s="15">
        <f t="shared" si="0"/>
        <v>0</v>
      </c>
      <c r="F57" s="15">
        <v>0</v>
      </c>
      <c r="G57" s="34">
        <f t="shared" si="1"/>
        <v>0</v>
      </c>
      <c r="H57" s="19" t="s">
        <v>51</v>
      </c>
      <c r="I57" s="14">
        <f>-I18-I19-I21-I24</f>
        <v>-9.908</v>
      </c>
      <c r="J57" s="14">
        <f t="shared" si="2"/>
        <v>0</v>
      </c>
      <c r="K57" s="14">
        <v>0</v>
      </c>
      <c r="L57" s="16">
        <f t="shared" si="3"/>
        <v>0</v>
      </c>
    </row>
    <row r="58" spans="2:12" ht="15.75">
      <c r="B58" s="4"/>
      <c r="C58" s="17"/>
      <c r="D58" s="9"/>
      <c r="E58" s="9"/>
      <c r="F58" s="9"/>
      <c r="G58" s="9"/>
      <c r="H58" s="17"/>
      <c r="I58" s="9"/>
      <c r="J58" s="9"/>
      <c r="K58" s="9"/>
      <c r="L58" s="20"/>
    </row>
    <row r="59" spans="3:12" ht="15.75">
      <c r="C59" s="17"/>
      <c r="D59" s="9"/>
      <c r="E59" s="9"/>
      <c r="F59" s="9"/>
      <c r="G59" s="9"/>
      <c r="H59" s="17"/>
      <c r="I59" s="9"/>
      <c r="J59" s="9"/>
      <c r="K59" s="9"/>
      <c r="L59" s="20"/>
    </row>
    <row r="60" spans="3:12" ht="15.75">
      <c r="C60" s="17"/>
      <c r="D60" s="21" t="s">
        <v>50</v>
      </c>
      <c r="E60" s="11">
        <f>MAX(E18:E57)</f>
        <v>60.949000000000005</v>
      </c>
      <c r="F60" s="9"/>
      <c r="G60" s="9"/>
      <c r="H60" s="17"/>
      <c r="I60" s="21" t="s">
        <v>27</v>
      </c>
      <c r="J60" s="11">
        <f>MAX(J18:J57)</f>
        <v>16.513333333333332</v>
      </c>
      <c r="K60" s="9"/>
      <c r="L60" s="20"/>
    </row>
    <row r="61" spans="3:12" ht="15.75">
      <c r="C61" s="17"/>
      <c r="D61" s="21" t="s">
        <v>28</v>
      </c>
      <c r="E61" s="22">
        <f>E60/D3</f>
        <v>6.15149374243036</v>
      </c>
      <c r="F61" s="9"/>
      <c r="G61" s="9"/>
      <c r="H61" s="17"/>
      <c r="I61" s="21" t="s">
        <v>28</v>
      </c>
      <c r="J61" s="22">
        <f>J60/D3</f>
        <v>1.6666666666666665</v>
      </c>
      <c r="K61" s="9"/>
      <c r="L61" s="20"/>
    </row>
    <row r="62" spans="3:12" ht="15.75">
      <c r="C62" s="17"/>
      <c r="D62" s="21" t="s">
        <v>72</v>
      </c>
      <c r="E62" s="11">
        <f>G57</f>
        <v>0</v>
      </c>
      <c r="F62" s="9"/>
      <c r="G62" s="9"/>
      <c r="H62" s="17"/>
      <c r="I62" s="21" t="s">
        <v>72</v>
      </c>
      <c r="J62" s="11">
        <f>-L57</f>
        <v>0</v>
      </c>
      <c r="K62" s="9"/>
      <c r="L62" s="20"/>
    </row>
    <row r="63" spans="3:12" ht="17" thickBot="1">
      <c r="C63" s="19"/>
      <c r="D63" s="23" t="s">
        <v>29</v>
      </c>
      <c r="E63" s="24">
        <f>G57/D3</f>
        <v>0</v>
      </c>
      <c r="F63" s="13"/>
      <c r="G63" s="13"/>
      <c r="H63" s="19"/>
      <c r="I63" s="23" t="s">
        <v>29</v>
      </c>
      <c r="J63" s="24">
        <f>J62/D3</f>
        <v>0</v>
      </c>
      <c r="K63" s="13"/>
      <c r="L63" s="25"/>
    </row>
    <row r="64" spans="8:12" ht="15.75">
      <c r="H64" s="9"/>
      <c r="I64" s="9"/>
      <c r="J64" s="9"/>
      <c r="K64" s="9"/>
      <c r="L64" s="9"/>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8DDA-BF23-A54F-82D0-08D6DEBB2F26}">
  <dimension ref="A1:P43"/>
  <sheetViews>
    <sheetView workbookViewId="0" topLeftCell="A1">
      <selection activeCell="D8" sqref="D8"/>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86</v>
      </c>
    </row>
    <row r="2" ht="17" thickBot="1"/>
    <row r="3" spans="1:4" ht="17" thickBot="1">
      <c r="A3" s="39" t="s">
        <v>66</v>
      </c>
      <c r="B3" s="40"/>
      <c r="C3" s="40"/>
      <c r="D3" s="41">
        <f>4*Assumptions!C2*Assumptions!C17+8*Assumptions!C4*Assumptions!C17</f>
        <v>79.6</v>
      </c>
    </row>
    <row r="4" spans="1:4" ht="15.75">
      <c r="A4" s="42" t="s">
        <v>67</v>
      </c>
      <c r="B4" s="43"/>
      <c r="C4" s="43"/>
      <c r="D4" s="44">
        <f>Assumptions!C2*Assumptions!C17*3</f>
        <v>11.94</v>
      </c>
    </row>
    <row r="5" spans="1:4" ht="15.75">
      <c r="A5" s="45" t="s">
        <v>68</v>
      </c>
      <c r="B5" s="38"/>
      <c r="C5" s="38"/>
      <c r="D5" s="46">
        <f>Assumptions!C2*Assumptions!C17*1+Assumptions!C4*Assumptions!C17*2</f>
        <v>19.9</v>
      </c>
    </row>
    <row r="6" spans="1:5" ht="15.75">
      <c r="A6" s="45" t="s">
        <v>69</v>
      </c>
      <c r="B6" s="38"/>
      <c r="C6" s="38"/>
      <c r="D6" s="46">
        <f>Assumptions!C4*Assumptions!C17*3</f>
        <v>23.88</v>
      </c>
      <c r="E6" s="5"/>
    </row>
    <row r="7" spans="1:5" ht="17" thickBot="1">
      <c r="A7" s="47" t="s">
        <v>70</v>
      </c>
      <c r="B7" s="48"/>
      <c r="C7" s="48"/>
      <c r="D7" s="49">
        <f>Assumptions!C4*Assumptions!C17*3</f>
        <v>23.88</v>
      </c>
      <c r="E7" s="5"/>
    </row>
    <row r="8" spans="1:5" ht="15.75">
      <c r="A8" s="42" t="s">
        <v>38</v>
      </c>
      <c r="B8" s="43"/>
      <c r="C8" s="43"/>
      <c r="D8" s="44">
        <f>Assumptions!C2*Assumptions!C23*3</f>
        <v>7.917</v>
      </c>
      <c r="E8" s="5"/>
    </row>
    <row r="9" spans="1:5" ht="15.75">
      <c r="A9" s="45" t="s">
        <v>39</v>
      </c>
      <c r="B9" s="38"/>
      <c r="C9" s="38"/>
      <c r="D9" s="46">
        <f>Assumptions!C2*Assumptions!C23*1+Assumptions!C4*Assumptions!C23*2</f>
        <v>13.194999999999999</v>
      </c>
      <c r="E9" s="5"/>
    </row>
    <row r="10" spans="1:5" ht="15.75">
      <c r="A10" s="45" t="s">
        <v>40</v>
      </c>
      <c r="B10" s="38"/>
      <c r="C10" s="38"/>
      <c r="D10" s="46">
        <f>Assumptions!C4*Assumptions!C23*3</f>
        <v>15.834</v>
      </c>
      <c r="E10" s="5"/>
    </row>
    <row r="11" spans="1:5" ht="17" thickBot="1">
      <c r="A11" s="47" t="s">
        <v>41</v>
      </c>
      <c r="B11" s="48"/>
      <c r="C11" s="48"/>
      <c r="D11" s="49">
        <f>Assumptions!C4*Assumptions!C23*3</f>
        <v>15.834</v>
      </c>
      <c r="E11" s="5"/>
    </row>
    <row r="12" ht="15.75">
      <c r="D12" s="5"/>
    </row>
    <row r="13" spans="1:4" ht="15.75">
      <c r="A13" t="s">
        <v>32</v>
      </c>
      <c r="D13" s="5">
        <f>Assumptions!C14</f>
        <v>8.707</v>
      </c>
    </row>
    <row r="14" spans="1:4" ht="15.75">
      <c r="A14" t="s">
        <v>31</v>
      </c>
      <c r="D14" s="5">
        <f>MIN(D13,(D3/3))</f>
        <v>8.707</v>
      </c>
    </row>
    <row r="15" ht="17" thickBot="1">
      <c r="A15" s="2"/>
    </row>
    <row r="16" spans="2:12" ht="15.75">
      <c r="B16" s="6"/>
      <c r="C16" s="28" t="s">
        <v>12</v>
      </c>
      <c r="D16" s="7"/>
      <c r="E16" s="7"/>
      <c r="F16" s="7"/>
      <c r="G16" s="8"/>
      <c r="H16" s="28" t="s">
        <v>13</v>
      </c>
      <c r="I16" s="7"/>
      <c r="J16" s="7"/>
      <c r="K16" s="7"/>
      <c r="L16" s="8"/>
    </row>
    <row r="17" spans="2:16" s="3" customFormat="1" ht="34">
      <c r="B17" s="29" t="s">
        <v>6</v>
      </c>
      <c r="C17" s="29" t="s">
        <v>7</v>
      </c>
      <c r="D17" s="30" t="s">
        <v>9</v>
      </c>
      <c r="E17" s="30" t="s">
        <v>8</v>
      </c>
      <c r="F17" s="30" t="s">
        <v>10</v>
      </c>
      <c r="G17" s="31" t="s">
        <v>11</v>
      </c>
      <c r="H17" s="29" t="s">
        <v>7</v>
      </c>
      <c r="I17" s="30" t="s">
        <v>9</v>
      </c>
      <c r="J17" s="30" t="s">
        <v>8</v>
      </c>
      <c r="K17" s="30" t="s">
        <v>10</v>
      </c>
      <c r="L17" s="31" t="s">
        <v>11</v>
      </c>
      <c r="P17"/>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6.707000000000001</v>
      </c>
      <c r="J19" s="10">
        <f>J18+I19</f>
        <v>8.707</v>
      </c>
      <c r="K19" s="10">
        <v>0</v>
      </c>
      <c r="L19" s="12">
        <f>K19+L18</f>
        <v>0</v>
      </c>
    </row>
    <row r="20" spans="2:12" ht="15.75">
      <c r="B20" s="26">
        <v>44228</v>
      </c>
      <c r="C20" s="17" t="s">
        <v>16</v>
      </c>
      <c r="D20" s="10">
        <v>0</v>
      </c>
      <c r="E20" s="11">
        <f aca="true" t="shared" si="0" ref="E20:E36">D20+E19</f>
        <v>8.707</v>
      </c>
      <c r="F20" s="11">
        <v>0</v>
      </c>
      <c r="G20" s="33">
        <f aca="true" t="shared" si="1" ref="G20:G36">F20+G19</f>
        <v>0</v>
      </c>
      <c r="H20" s="17" t="s">
        <v>16</v>
      </c>
      <c r="I20" s="10">
        <v>0</v>
      </c>
      <c r="J20" s="10">
        <f aca="true" t="shared" si="2" ref="J20:J36">J19+I20</f>
        <v>8.707</v>
      </c>
      <c r="K20" s="10">
        <v>0</v>
      </c>
      <c r="L20" s="12">
        <f aca="true" t="shared" si="3" ref="L20:L36">K20+L19</f>
        <v>0</v>
      </c>
    </row>
    <row r="21" spans="2:12" ht="15.75">
      <c r="B21" s="26">
        <v>44562</v>
      </c>
      <c r="C21" s="17" t="s">
        <v>17</v>
      </c>
      <c r="D21" s="10">
        <f>D13</f>
        <v>8.707</v>
      </c>
      <c r="E21" s="11">
        <f t="shared" si="0"/>
        <v>17.414</v>
      </c>
      <c r="F21" s="11">
        <v>0</v>
      </c>
      <c r="G21" s="33">
        <f t="shared" si="1"/>
        <v>0</v>
      </c>
      <c r="H21" s="17" t="s">
        <v>17</v>
      </c>
      <c r="I21" s="10">
        <f>D14</f>
        <v>8.707</v>
      </c>
      <c r="J21" s="10">
        <f t="shared" si="2"/>
        <v>17.414</v>
      </c>
      <c r="K21" s="10">
        <v>0</v>
      </c>
      <c r="L21" s="12">
        <f t="shared" si="3"/>
        <v>0</v>
      </c>
    </row>
    <row r="22" spans="2:12" ht="15.75">
      <c r="B22" s="26">
        <v>44562</v>
      </c>
      <c r="C22" s="18" t="s">
        <v>30</v>
      </c>
      <c r="D22" s="10">
        <v>0</v>
      </c>
      <c r="E22" s="11">
        <f t="shared" si="0"/>
        <v>17.414</v>
      </c>
      <c r="F22" s="11">
        <v>0</v>
      </c>
      <c r="G22" s="33">
        <f t="shared" si="1"/>
        <v>0</v>
      </c>
      <c r="H22" s="17" t="s">
        <v>33</v>
      </c>
      <c r="I22" s="10">
        <f>0*MIN((1*D14),(D3/6))</f>
        <v>0</v>
      </c>
      <c r="J22" s="10">
        <f t="shared" si="2"/>
        <v>17.414</v>
      </c>
      <c r="K22" s="10">
        <v>0</v>
      </c>
      <c r="L22" s="12">
        <f t="shared" si="3"/>
        <v>0</v>
      </c>
    </row>
    <row r="23" spans="2:12" ht="15.75">
      <c r="B23" s="26">
        <v>44593</v>
      </c>
      <c r="C23" s="17" t="s">
        <v>18</v>
      </c>
      <c r="D23" s="10">
        <v>0</v>
      </c>
      <c r="E23" s="11">
        <f t="shared" si="0"/>
        <v>17.414</v>
      </c>
      <c r="F23" s="11">
        <v>0</v>
      </c>
      <c r="G23" s="33">
        <f t="shared" si="1"/>
        <v>0</v>
      </c>
      <c r="H23" s="17" t="s">
        <v>18</v>
      </c>
      <c r="I23" s="10">
        <v>0</v>
      </c>
      <c r="J23" s="10">
        <f t="shared" si="2"/>
        <v>17.414</v>
      </c>
      <c r="K23" s="10">
        <v>0</v>
      </c>
      <c r="L23" s="12">
        <f t="shared" si="3"/>
        <v>0</v>
      </c>
    </row>
    <row r="24" spans="2:12" ht="15.75">
      <c r="B24" s="26">
        <v>44774</v>
      </c>
      <c r="C24" s="18" t="s">
        <v>30</v>
      </c>
      <c r="D24" s="10">
        <v>0</v>
      </c>
      <c r="E24" s="11">
        <f t="shared" si="0"/>
        <v>17.414</v>
      </c>
      <c r="F24" s="11">
        <v>0</v>
      </c>
      <c r="G24" s="33">
        <f t="shared" si="1"/>
        <v>0</v>
      </c>
      <c r="H24" s="17" t="s">
        <v>36</v>
      </c>
      <c r="I24" s="10">
        <v>0</v>
      </c>
      <c r="J24" s="10">
        <f t="shared" si="2"/>
        <v>17.414</v>
      </c>
      <c r="K24" s="10">
        <v>0</v>
      </c>
      <c r="L24" s="12">
        <f t="shared" si="3"/>
        <v>0</v>
      </c>
    </row>
    <row r="25" spans="2:12" ht="15.75">
      <c r="B25" s="26">
        <v>44835</v>
      </c>
      <c r="C25" s="18" t="s">
        <v>30</v>
      </c>
      <c r="D25" s="10">
        <v>0</v>
      </c>
      <c r="E25" s="11">
        <f t="shared" si="0"/>
        <v>17.414</v>
      </c>
      <c r="F25" s="11">
        <v>0</v>
      </c>
      <c r="G25" s="33">
        <f t="shared" si="1"/>
        <v>0</v>
      </c>
      <c r="H25" s="17" t="s">
        <v>37</v>
      </c>
      <c r="I25" s="10">
        <v>0</v>
      </c>
      <c r="J25" s="10">
        <f t="shared" si="2"/>
        <v>17.414</v>
      </c>
      <c r="K25" s="10">
        <v>0</v>
      </c>
      <c r="L25" s="12">
        <f t="shared" si="3"/>
        <v>0</v>
      </c>
    </row>
    <row r="26" spans="2:12" ht="15.75">
      <c r="B26" s="26">
        <v>44927</v>
      </c>
      <c r="C26" s="17" t="s">
        <v>19</v>
      </c>
      <c r="D26" s="10">
        <f>D13</f>
        <v>8.707</v>
      </c>
      <c r="E26" s="11">
        <f t="shared" si="0"/>
        <v>26.121000000000002</v>
      </c>
      <c r="F26" s="11">
        <v>0</v>
      </c>
      <c r="G26" s="33">
        <f t="shared" si="1"/>
        <v>0</v>
      </c>
      <c r="H26" s="17" t="s">
        <v>19</v>
      </c>
      <c r="I26" s="10">
        <f>D14</f>
        <v>8.707</v>
      </c>
      <c r="J26" s="10">
        <f t="shared" si="2"/>
        <v>26.121000000000002</v>
      </c>
      <c r="K26" s="10">
        <v>0</v>
      </c>
      <c r="L26" s="12">
        <f t="shared" si="3"/>
        <v>0</v>
      </c>
    </row>
    <row r="27" spans="2:12" ht="15.75">
      <c r="B27" s="26">
        <v>44927</v>
      </c>
      <c r="C27" s="18" t="s">
        <v>30</v>
      </c>
      <c r="D27" s="10">
        <v>0</v>
      </c>
      <c r="E27" s="11">
        <f t="shared" si="0"/>
        <v>26.121000000000002</v>
      </c>
      <c r="F27" s="11">
        <v>0</v>
      </c>
      <c r="G27" s="33">
        <f t="shared" si="1"/>
        <v>0</v>
      </c>
      <c r="H27" s="17" t="s">
        <v>34</v>
      </c>
      <c r="I27" s="10">
        <f>0*MIN((3*D14),(D3/2))-I22</f>
        <v>0</v>
      </c>
      <c r="J27" s="10">
        <f t="shared" si="2"/>
        <v>26.121000000000002</v>
      </c>
      <c r="K27" s="10">
        <v>0</v>
      </c>
      <c r="L27" s="12">
        <f t="shared" si="3"/>
        <v>0</v>
      </c>
    </row>
    <row r="28" spans="2:12" ht="15.75">
      <c r="B28" s="26">
        <v>44958</v>
      </c>
      <c r="C28" s="17" t="s">
        <v>20</v>
      </c>
      <c r="D28" s="10">
        <v>0</v>
      </c>
      <c r="E28" s="11">
        <f t="shared" si="0"/>
        <v>26.121000000000002</v>
      </c>
      <c r="F28" s="11">
        <v>0</v>
      </c>
      <c r="G28" s="33">
        <f t="shared" si="1"/>
        <v>0</v>
      </c>
      <c r="H28" s="17" t="s">
        <v>20</v>
      </c>
      <c r="I28" s="10">
        <v>0</v>
      </c>
      <c r="J28" s="10">
        <f t="shared" si="2"/>
        <v>26.121000000000002</v>
      </c>
      <c r="K28" s="10">
        <v>0</v>
      </c>
      <c r="L28" s="12">
        <f t="shared" si="3"/>
        <v>0</v>
      </c>
    </row>
    <row r="29" spans="2:12" ht="15.75">
      <c r="B29" s="26">
        <v>45292</v>
      </c>
      <c r="C29" s="18" t="s">
        <v>30</v>
      </c>
      <c r="D29" s="10">
        <v>0</v>
      </c>
      <c r="E29" s="11">
        <f t="shared" si="0"/>
        <v>26.121000000000002</v>
      </c>
      <c r="F29" s="11">
        <v>0</v>
      </c>
      <c r="G29" s="33">
        <f t="shared" si="1"/>
        <v>0</v>
      </c>
      <c r="H29" s="17" t="s">
        <v>21</v>
      </c>
      <c r="I29" s="10">
        <f>D14*0</f>
        <v>0</v>
      </c>
      <c r="J29" s="10">
        <f t="shared" si="2"/>
        <v>26.121000000000002</v>
      </c>
      <c r="K29" s="10">
        <v>0</v>
      </c>
      <c r="L29" s="12">
        <f t="shared" si="3"/>
        <v>0</v>
      </c>
    </row>
    <row r="30" spans="2:12" ht="15.75">
      <c r="B30" s="26">
        <v>45292</v>
      </c>
      <c r="C30" s="18" t="s">
        <v>30</v>
      </c>
      <c r="D30" s="10">
        <v>0</v>
      </c>
      <c r="E30" s="11">
        <f t="shared" si="0"/>
        <v>26.121000000000002</v>
      </c>
      <c r="F30" s="11">
        <v>0</v>
      </c>
      <c r="G30" s="33">
        <f t="shared" si="1"/>
        <v>0</v>
      </c>
      <c r="H30" s="17" t="s">
        <v>35</v>
      </c>
      <c r="I30" s="10">
        <f>0*MIN((6*D14),(D3))-I27-I22</f>
        <v>0</v>
      </c>
      <c r="J30" s="10">
        <f t="shared" si="2"/>
        <v>26.121000000000002</v>
      </c>
      <c r="K30" s="10">
        <v>0</v>
      </c>
      <c r="L30" s="12">
        <f t="shared" si="3"/>
        <v>0</v>
      </c>
    </row>
    <row r="31" spans="2:12" ht="15.75">
      <c r="B31" s="26">
        <v>45323</v>
      </c>
      <c r="C31" s="17" t="s">
        <v>22</v>
      </c>
      <c r="D31" s="10">
        <v>0</v>
      </c>
      <c r="E31" s="11">
        <f t="shared" si="0"/>
        <v>26.121000000000002</v>
      </c>
      <c r="F31" s="11">
        <v>0</v>
      </c>
      <c r="G31" s="33">
        <f t="shared" si="1"/>
        <v>0</v>
      </c>
      <c r="H31" s="17" t="s">
        <v>22</v>
      </c>
      <c r="I31" s="10">
        <v>0</v>
      </c>
      <c r="J31" s="10">
        <f t="shared" si="2"/>
        <v>26.121000000000002</v>
      </c>
      <c r="K31" s="10">
        <v>0</v>
      </c>
      <c r="L31" s="12">
        <f t="shared" si="3"/>
        <v>0</v>
      </c>
    </row>
    <row r="32" spans="2:12" ht="15.75">
      <c r="B32" s="26">
        <v>45413</v>
      </c>
      <c r="C32" s="18" t="s">
        <v>30</v>
      </c>
      <c r="D32" s="10">
        <v>0</v>
      </c>
      <c r="E32" s="11">
        <f t="shared" si="0"/>
        <v>26.121000000000002</v>
      </c>
      <c r="F32" s="11">
        <v>0</v>
      </c>
      <c r="G32" s="33">
        <f t="shared" si="1"/>
        <v>0</v>
      </c>
      <c r="H32" s="17" t="s">
        <v>37</v>
      </c>
      <c r="I32" s="10">
        <f>-I22-I27-I30-I29</f>
        <v>0</v>
      </c>
      <c r="J32" s="10">
        <f t="shared" si="2"/>
        <v>26.121000000000002</v>
      </c>
      <c r="K32" s="10">
        <v>0</v>
      </c>
      <c r="L32" s="12">
        <f t="shared" si="3"/>
        <v>0</v>
      </c>
    </row>
    <row r="33" spans="2:12" ht="15.75">
      <c r="B33" s="26">
        <v>45383</v>
      </c>
      <c r="C33" s="17" t="s">
        <v>25</v>
      </c>
      <c r="D33" s="10">
        <v>0</v>
      </c>
      <c r="E33" s="11">
        <f t="shared" si="0"/>
        <v>26.121000000000002</v>
      </c>
      <c r="F33" s="11">
        <v>0</v>
      </c>
      <c r="G33" s="33">
        <f t="shared" si="1"/>
        <v>0</v>
      </c>
      <c r="H33" s="17" t="s">
        <v>25</v>
      </c>
      <c r="I33" s="10">
        <v>0</v>
      </c>
      <c r="J33" s="10">
        <f t="shared" si="2"/>
        <v>26.121000000000002</v>
      </c>
      <c r="K33" s="10">
        <v>0</v>
      </c>
      <c r="L33" s="12">
        <f t="shared" si="3"/>
        <v>0</v>
      </c>
    </row>
    <row r="34" spans="2:12" ht="15.75">
      <c r="B34" s="26">
        <v>45413</v>
      </c>
      <c r="C34" s="17" t="s">
        <v>52</v>
      </c>
      <c r="D34" s="10">
        <v>0</v>
      </c>
      <c r="E34" s="11">
        <f t="shared" si="0"/>
        <v>26.121000000000002</v>
      </c>
      <c r="F34" s="11">
        <v>0</v>
      </c>
      <c r="G34" s="33">
        <f t="shared" si="1"/>
        <v>0</v>
      </c>
      <c r="H34" s="17" t="s">
        <v>52</v>
      </c>
      <c r="I34" s="10">
        <v>0</v>
      </c>
      <c r="J34" s="10">
        <f t="shared" si="2"/>
        <v>26.121000000000002</v>
      </c>
      <c r="K34" s="10">
        <v>0</v>
      </c>
      <c r="L34" s="12">
        <f t="shared" si="3"/>
        <v>0</v>
      </c>
    </row>
    <row r="35" spans="2:12" ht="15.75">
      <c r="B35" s="26">
        <v>45444</v>
      </c>
      <c r="C35" s="17" t="s">
        <v>23</v>
      </c>
      <c r="D35" s="10">
        <v>0</v>
      </c>
      <c r="E35" s="11">
        <f t="shared" si="0"/>
        <v>26.121000000000002</v>
      </c>
      <c r="F35" s="11">
        <v>0</v>
      </c>
      <c r="G35" s="33">
        <f t="shared" si="1"/>
        <v>0</v>
      </c>
      <c r="H35" s="17" t="s">
        <v>23</v>
      </c>
      <c r="I35" s="10">
        <v>0</v>
      </c>
      <c r="J35" s="10">
        <f t="shared" si="2"/>
        <v>26.121000000000002</v>
      </c>
      <c r="K35" s="10">
        <v>0</v>
      </c>
      <c r="L35" s="12">
        <f t="shared" si="3"/>
        <v>0</v>
      </c>
    </row>
    <row r="36" spans="2:12" ht="17" thickBot="1">
      <c r="B36" s="27">
        <v>45474</v>
      </c>
      <c r="C36" s="19" t="s">
        <v>71</v>
      </c>
      <c r="D36" s="14">
        <f>-E35</f>
        <v>-26.121000000000002</v>
      </c>
      <c r="E36" s="15">
        <f t="shared" si="0"/>
        <v>0</v>
      </c>
      <c r="F36" s="15">
        <v>0</v>
      </c>
      <c r="G36" s="34">
        <f t="shared" si="1"/>
        <v>0</v>
      </c>
      <c r="H36" s="19" t="s">
        <v>51</v>
      </c>
      <c r="I36" s="14">
        <f>-I18-I19-I21-I26</f>
        <v>-26.121000000000002</v>
      </c>
      <c r="J36" s="14">
        <f t="shared" si="2"/>
        <v>0</v>
      </c>
      <c r="K36" s="14">
        <v>0</v>
      </c>
      <c r="L36" s="16">
        <f t="shared" si="3"/>
        <v>0</v>
      </c>
    </row>
    <row r="37" spans="2:12" ht="15.75">
      <c r="B37" s="4"/>
      <c r="C37" s="17"/>
      <c r="D37" s="9"/>
      <c r="E37" s="9"/>
      <c r="F37" s="9"/>
      <c r="G37" s="9"/>
      <c r="H37" s="17"/>
      <c r="I37" s="9"/>
      <c r="J37" s="9"/>
      <c r="K37" s="9"/>
      <c r="L37" s="20"/>
    </row>
    <row r="38" spans="3:12" ht="15.75">
      <c r="C38" s="17"/>
      <c r="D38" s="9"/>
      <c r="E38" s="9"/>
      <c r="F38" s="9"/>
      <c r="G38" s="9"/>
      <c r="H38" s="17"/>
      <c r="I38" s="9"/>
      <c r="J38" s="9"/>
      <c r="K38" s="9"/>
      <c r="L38" s="20"/>
    </row>
    <row r="39" spans="3:12" ht="15.75">
      <c r="C39" s="17"/>
      <c r="D39" s="21" t="s">
        <v>50</v>
      </c>
      <c r="E39" s="11">
        <f>MAX(E18:E36)</f>
        <v>26.121000000000002</v>
      </c>
      <c r="F39" s="9"/>
      <c r="G39" s="9"/>
      <c r="H39" s="17"/>
      <c r="I39" s="21" t="s">
        <v>27</v>
      </c>
      <c r="J39" s="11">
        <f>MAX(J18:J36)</f>
        <v>26.121000000000002</v>
      </c>
      <c r="K39" s="9"/>
      <c r="L39" s="20"/>
    </row>
    <row r="40" spans="3:12" ht="15.75">
      <c r="C40" s="17"/>
      <c r="D40" s="21" t="s">
        <v>28</v>
      </c>
      <c r="E40" s="22">
        <f>E39/D3</f>
        <v>0.32815326633165837</v>
      </c>
      <c r="F40" s="9"/>
      <c r="G40" s="9"/>
      <c r="H40" s="17"/>
      <c r="I40" s="21" t="s">
        <v>28</v>
      </c>
      <c r="J40" s="22">
        <f>J39/D3</f>
        <v>0.32815326633165837</v>
      </c>
      <c r="K40" s="9"/>
      <c r="L40" s="20"/>
    </row>
    <row r="41" spans="3:12" ht="15.75">
      <c r="C41" s="17"/>
      <c r="D41" s="21" t="s">
        <v>72</v>
      </c>
      <c r="E41" s="11">
        <f>G36</f>
        <v>0</v>
      </c>
      <c r="F41" s="9"/>
      <c r="G41" s="9"/>
      <c r="H41" s="17"/>
      <c r="I41" s="21" t="s">
        <v>72</v>
      </c>
      <c r="J41" s="11">
        <f>L36</f>
        <v>0</v>
      </c>
      <c r="K41" s="9"/>
      <c r="L41" s="20"/>
    </row>
    <row r="42" spans="3:12" ht="17" thickBot="1">
      <c r="C42" s="19"/>
      <c r="D42" s="23" t="s">
        <v>29</v>
      </c>
      <c r="E42" s="24">
        <f>E41/D3</f>
        <v>0</v>
      </c>
      <c r="F42" s="13"/>
      <c r="G42" s="13"/>
      <c r="H42" s="19"/>
      <c r="I42" s="23" t="s">
        <v>29</v>
      </c>
      <c r="J42" s="24">
        <f>J41/D3</f>
        <v>0</v>
      </c>
      <c r="K42" s="13"/>
      <c r="L42" s="25"/>
    </row>
    <row r="43" spans="8:12" ht="15.75">
      <c r="H43" s="9"/>
      <c r="I43" s="9"/>
      <c r="J43" s="9"/>
      <c r="K43" s="9"/>
      <c r="L43" s="9"/>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EF699-4BCD-E54E-8242-0B23FEEDF7DB}">
  <dimension ref="A1:L62"/>
  <sheetViews>
    <sheetView workbookViewId="0" topLeftCell="A1">
      <selection activeCell="D9" sqref="D9"/>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91</v>
      </c>
    </row>
    <row r="2" ht="17" thickBot="1"/>
    <row r="3" spans="1:4" ht="17" thickBot="1">
      <c r="A3" s="39" t="s">
        <v>66</v>
      </c>
      <c r="B3" s="40"/>
      <c r="C3" s="40"/>
      <c r="D3" s="41">
        <f>4*Assumptions!C2*Assumptions!C17+8*Assumptions!C4*Assumptions!C17</f>
        <v>79.6</v>
      </c>
    </row>
    <row r="4" spans="1:4" ht="15.75">
      <c r="A4" s="42" t="s">
        <v>67</v>
      </c>
      <c r="B4" s="43"/>
      <c r="C4" s="43"/>
      <c r="D4" s="44">
        <f>Assumptions!C2*Assumptions!C17*3</f>
        <v>11.94</v>
      </c>
    </row>
    <row r="5" spans="1:4" ht="15.75">
      <c r="A5" s="45" t="s">
        <v>68</v>
      </c>
      <c r="B5" s="38"/>
      <c r="C5" s="38"/>
      <c r="D5" s="46">
        <f>Assumptions!C2*Assumptions!C17*1+Assumptions!C4*Assumptions!C17*2</f>
        <v>19.9</v>
      </c>
    </row>
    <row r="6" spans="1:5" ht="15.75">
      <c r="A6" s="45" t="s">
        <v>69</v>
      </c>
      <c r="B6" s="38"/>
      <c r="C6" s="38"/>
      <c r="D6" s="46">
        <f>Assumptions!C4*Assumptions!C17*3</f>
        <v>23.88</v>
      </c>
      <c r="E6" s="5"/>
    </row>
    <row r="7" spans="1:5" ht="17" thickBot="1">
      <c r="A7" s="47" t="s">
        <v>70</v>
      </c>
      <c r="B7" s="48"/>
      <c r="C7" s="48"/>
      <c r="D7" s="49">
        <f>Assumptions!C4*Assumptions!C17*3</f>
        <v>23.88</v>
      </c>
      <c r="E7" s="5"/>
    </row>
    <row r="8" spans="1:5" ht="15.75">
      <c r="A8" s="42" t="s">
        <v>38</v>
      </c>
      <c r="B8" s="43"/>
      <c r="C8" s="43"/>
      <c r="D8" s="44">
        <f>Assumptions!C2*Assumptions!C23*3</f>
        <v>7.917</v>
      </c>
      <c r="E8" s="5"/>
    </row>
    <row r="9" spans="1:5" ht="15.75">
      <c r="A9" s="45" t="s">
        <v>39</v>
      </c>
      <c r="B9" s="38"/>
      <c r="C9" s="38"/>
      <c r="D9" s="46">
        <f>Assumptions!C2*Assumptions!C23*1+Assumptions!C4*Assumptions!C23*2</f>
        <v>13.194999999999999</v>
      </c>
      <c r="E9" s="5"/>
    </row>
    <row r="10" spans="1:5" ht="15.75">
      <c r="A10" s="45" t="s">
        <v>40</v>
      </c>
      <c r="B10" s="38"/>
      <c r="C10" s="38"/>
      <c r="D10" s="46">
        <f>Assumptions!C4*Assumptions!C23*3</f>
        <v>15.834</v>
      </c>
      <c r="E10" s="5"/>
    </row>
    <row r="11" spans="1:5" ht="17" thickBot="1">
      <c r="A11" s="47" t="s">
        <v>41</v>
      </c>
      <c r="B11" s="48"/>
      <c r="C11" s="48"/>
      <c r="D11" s="49">
        <f>Assumptions!C4*Assumptions!C23*3</f>
        <v>15.834</v>
      </c>
      <c r="E11" s="5"/>
    </row>
    <row r="12" ht="15.75">
      <c r="D12" s="5"/>
    </row>
    <row r="13" spans="1:4" ht="15.75">
      <c r="A13" t="s">
        <v>32</v>
      </c>
      <c r="D13" s="5">
        <f>Assumptions!C14</f>
        <v>8.707</v>
      </c>
    </row>
    <row r="14" spans="1:4" ht="15.75">
      <c r="A14" t="s">
        <v>31</v>
      </c>
      <c r="D14" s="5">
        <f>MIN(D13,(D3/3))</f>
        <v>8.707</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6.707000000000001</v>
      </c>
      <c r="J19" s="10">
        <f>J18+I19</f>
        <v>8.707</v>
      </c>
      <c r="K19" s="10">
        <v>0</v>
      </c>
      <c r="L19" s="12">
        <f>K19+L18</f>
        <v>0</v>
      </c>
    </row>
    <row r="20" spans="2:12" ht="15.75">
      <c r="B20" s="26">
        <v>44228</v>
      </c>
      <c r="C20" s="17" t="s">
        <v>75</v>
      </c>
      <c r="D20" s="10">
        <v>0</v>
      </c>
      <c r="E20" s="11">
        <f aca="true" t="shared" si="0" ref="E20:E55">D20+E19</f>
        <v>8.707</v>
      </c>
      <c r="F20" s="11">
        <v>0</v>
      </c>
      <c r="G20" s="33">
        <f aca="true" t="shared" si="1" ref="G20:G55">F20+G19</f>
        <v>0</v>
      </c>
      <c r="H20" s="17" t="s">
        <v>75</v>
      </c>
      <c r="I20" s="10">
        <v>0</v>
      </c>
      <c r="J20" s="10">
        <f aca="true" t="shared" si="2" ref="J20:J55">J19+I20</f>
        <v>8.707</v>
      </c>
      <c r="K20" s="10">
        <v>0</v>
      </c>
      <c r="L20" s="12">
        <f aca="true" t="shared" si="3" ref="L20:L55">K20+L19</f>
        <v>0</v>
      </c>
    </row>
    <row r="21" spans="2:12" ht="15.75">
      <c r="B21" s="26">
        <v>44562</v>
      </c>
      <c r="C21" s="17" t="s">
        <v>17</v>
      </c>
      <c r="D21" s="10">
        <f>D13</f>
        <v>8.707</v>
      </c>
      <c r="E21" s="11">
        <f t="shared" si="0"/>
        <v>17.414</v>
      </c>
      <c r="F21" s="11">
        <v>0</v>
      </c>
      <c r="G21" s="33">
        <f t="shared" si="1"/>
        <v>0</v>
      </c>
      <c r="H21" s="17" t="s">
        <v>17</v>
      </c>
      <c r="I21" s="10">
        <f>D14</f>
        <v>8.707</v>
      </c>
      <c r="J21" s="10">
        <f t="shared" si="2"/>
        <v>17.414</v>
      </c>
      <c r="K21" s="10">
        <v>0</v>
      </c>
      <c r="L21" s="12">
        <f t="shared" si="3"/>
        <v>0</v>
      </c>
    </row>
    <row r="22" spans="2:12" ht="15.75">
      <c r="B22" s="26">
        <v>44562</v>
      </c>
      <c r="C22" s="18" t="s">
        <v>30</v>
      </c>
      <c r="D22" s="10">
        <v>0</v>
      </c>
      <c r="E22" s="11">
        <f t="shared" si="0"/>
        <v>17.414</v>
      </c>
      <c r="F22" s="11">
        <v>0</v>
      </c>
      <c r="G22" s="33">
        <f t="shared" si="1"/>
        <v>0</v>
      </c>
      <c r="H22" s="17" t="s">
        <v>33</v>
      </c>
      <c r="I22" s="10">
        <f>MIN((1*D14),(D3/6))</f>
        <v>8.707</v>
      </c>
      <c r="J22" s="10">
        <f t="shared" si="2"/>
        <v>26.121000000000002</v>
      </c>
      <c r="K22" s="10">
        <v>0</v>
      </c>
      <c r="L22" s="12">
        <f t="shared" si="3"/>
        <v>0</v>
      </c>
    </row>
    <row r="23" spans="2:12" ht="15.75">
      <c r="B23" s="26">
        <v>44593</v>
      </c>
      <c r="C23" s="17" t="s">
        <v>16</v>
      </c>
      <c r="D23" s="10">
        <v>0</v>
      </c>
      <c r="E23" s="11">
        <f t="shared" si="0"/>
        <v>17.414</v>
      </c>
      <c r="F23" s="11">
        <v>0</v>
      </c>
      <c r="G23" s="33">
        <f t="shared" si="1"/>
        <v>0</v>
      </c>
      <c r="H23" s="17" t="s">
        <v>16</v>
      </c>
      <c r="I23" s="10">
        <v>0</v>
      </c>
      <c r="J23" s="10">
        <f t="shared" si="2"/>
        <v>26.121000000000002</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8.707</v>
      </c>
      <c r="J24" s="10">
        <f t="shared" si="2"/>
        <v>34.828</v>
      </c>
      <c r="K24" s="10">
        <v>0</v>
      </c>
      <c r="L24" s="12">
        <f t="shared" si="3"/>
        <v>0</v>
      </c>
    </row>
    <row r="25" spans="2:12" ht="15.75">
      <c r="B25" s="26">
        <v>44927</v>
      </c>
      <c r="C25" s="18" t="s">
        <v>30</v>
      </c>
      <c r="D25" s="10">
        <v>0</v>
      </c>
      <c r="E25" s="11">
        <f t="shared" si="0"/>
        <v>26.121000000000002</v>
      </c>
      <c r="F25" s="11">
        <v>0</v>
      </c>
      <c r="G25" s="33">
        <f t="shared" si="1"/>
        <v>0</v>
      </c>
      <c r="H25" s="17" t="s">
        <v>34</v>
      </c>
      <c r="I25" s="10">
        <f>MIN((3*D14),(D3/2))-I22</f>
        <v>17.414</v>
      </c>
      <c r="J25" s="10">
        <f t="shared" si="2"/>
        <v>52.242000000000004</v>
      </c>
      <c r="K25" s="35">
        <v>0</v>
      </c>
      <c r="L25" s="12">
        <f t="shared" si="3"/>
        <v>0</v>
      </c>
    </row>
    <row r="26" spans="2:12" ht="15.75">
      <c r="B26" s="26">
        <v>44958</v>
      </c>
      <c r="C26" s="17" t="s">
        <v>18</v>
      </c>
      <c r="D26" s="10">
        <v>0</v>
      </c>
      <c r="E26" s="11">
        <f t="shared" si="0"/>
        <v>26.121000000000002</v>
      </c>
      <c r="F26" s="11">
        <v>0</v>
      </c>
      <c r="G26" s="33">
        <f t="shared" si="1"/>
        <v>0</v>
      </c>
      <c r="H26" s="17" t="s">
        <v>18</v>
      </c>
      <c r="I26" s="10">
        <v>0</v>
      </c>
      <c r="J26" s="10">
        <f t="shared" si="2"/>
        <v>52.242000000000004</v>
      </c>
      <c r="K26" s="35">
        <v>0</v>
      </c>
      <c r="L26" s="12">
        <f t="shared" si="3"/>
        <v>0</v>
      </c>
    </row>
    <row r="27" spans="2:12" ht="15.75">
      <c r="B27" s="26">
        <v>45292</v>
      </c>
      <c r="C27" s="18" t="s">
        <v>30</v>
      </c>
      <c r="D27" s="10">
        <v>0</v>
      </c>
      <c r="E27" s="11">
        <f t="shared" si="0"/>
        <v>26.121000000000002</v>
      </c>
      <c r="F27" s="11">
        <v>0</v>
      </c>
      <c r="G27" s="33">
        <f t="shared" si="1"/>
        <v>0</v>
      </c>
      <c r="H27" s="17" t="s">
        <v>21</v>
      </c>
      <c r="I27" s="10">
        <f>D14</f>
        <v>8.707</v>
      </c>
      <c r="J27" s="10">
        <f t="shared" si="2"/>
        <v>60.949000000000005</v>
      </c>
      <c r="K27" s="35">
        <v>0</v>
      </c>
      <c r="L27" s="12">
        <f t="shared" si="3"/>
        <v>0</v>
      </c>
    </row>
    <row r="28" spans="2:12" ht="15.75">
      <c r="B28" s="26">
        <v>45292</v>
      </c>
      <c r="C28" s="18" t="s">
        <v>30</v>
      </c>
      <c r="D28" s="10">
        <v>0</v>
      </c>
      <c r="E28" s="11">
        <f t="shared" si="0"/>
        <v>26.121000000000002</v>
      </c>
      <c r="F28" s="11">
        <v>0</v>
      </c>
      <c r="G28" s="33">
        <f t="shared" si="1"/>
        <v>0</v>
      </c>
      <c r="H28" s="17" t="s">
        <v>35</v>
      </c>
      <c r="I28" s="10">
        <f>MIN((6*D14),(D3))-I25-I22</f>
        <v>26.121000000000002</v>
      </c>
      <c r="J28" s="10">
        <f t="shared" si="2"/>
        <v>87.07000000000001</v>
      </c>
      <c r="K28" s="35">
        <v>0</v>
      </c>
      <c r="L28" s="12">
        <f t="shared" si="3"/>
        <v>0</v>
      </c>
    </row>
    <row r="29" spans="2:12" ht="15.75">
      <c r="B29" s="26">
        <v>45323</v>
      </c>
      <c r="C29" s="17" t="s">
        <v>20</v>
      </c>
      <c r="D29" s="10">
        <v>0</v>
      </c>
      <c r="E29" s="11">
        <f t="shared" si="0"/>
        <v>26.121000000000002</v>
      </c>
      <c r="F29" s="11">
        <v>0</v>
      </c>
      <c r="G29" s="33">
        <f t="shared" si="1"/>
        <v>0</v>
      </c>
      <c r="H29" s="17" t="s">
        <v>20</v>
      </c>
      <c r="I29" s="10">
        <v>0</v>
      </c>
      <c r="J29" s="10">
        <f t="shared" si="2"/>
        <v>87.07000000000001</v>
      </c>
      <c r="K29" s="35">
        <v>0</v>
      </c>
      <c r="L29" s="12">
        <f t="shared" si="3"/>
        <v>0</v>
      </c>
    </row>
    <row r="30" spans="2:12" ht="15.75">
      <c r="B30" s="26">
        <v>45444</v>
      </c>
      <c r="C30" s="17" t="s">
        <v>23</v>
      </c>
      <c r="D30" s="10">
        <v>0</v>
      </c>
      <c r="E30" s="11">
        <f t="shared" si="0"/>
        <v>26.121000000000002</v>
      </c>
      <c r="F30" s="11">
        <v>0</v>
      </c>
      <c r="G30" s="33">
        <f t="shared" si="1"/>
        <v>0</v>
      </c>
      <c r="H30" s="17" t="s">
        <v>23</v>
      </c>
      <c r="I30" s="10">
        <v>0</v>
      </c>
      <c r="J30" s="10">
        <f t="shared" si="2"/>
        <v>87.07000000000001</v>
      </c>
      <c r="K30" s="35">
        <v>0</v>
      </c>
      <c r="L30" s="12">
        <f t="shared" si="3"/>
        <v>0</v>
      </c>
    </row>
    <row r="31" spans="2:12" ht="15.75">
      <c r="B31" s="26">
        <v>45474</v>
      </c>
      <c r="C31" s="17" t="s">
        <v>24</v>
      </c>
      <c r="D31" s="10">
        <f>D13</f>
        <v>8.707</v>
      </c>
      <c r="E31" s="11">
        <f t="shared" si="0"/>
        <v>34.828</v>
      </c>
      <c r="F31" s="11">
        <v>0</v>
      </c>
      <c r="G31" s="33">
        <f t="shared" si="1"/>
        <v>0</v>
      </c>
      <c r="H31" s="18" t="s">
        <v>30</v>
      </c>
      <c r="I31" s="10">
        <v>0</v>
      </c>
      <c r="J31" s="10">
        <f t="shared" si="2"/>
        <v>87.07000000000001</v>
      </c>
      <c r="K31" s="35">
        <v>0</v>
      </c>
      <c r="L31" s="12">
        <f t="shared" si="3"/>
        <v>0</v>
      </c>
    </row>
    <row r="32" spans="2:12" ht="15.75">
      <c r="B32" s="26">
        <v>45505</v>
      </c>
      <c r="C32" s="18" t="s">
        <v>30</v>
      </c>
      <c r="D32" s="10">
        <v>0</v>
      </c>
      <c r="E32" s="11">
        <f t="shared" si="0"/>
        <v>34.828</v>
      </c>
      <c r="F32" s="11">
        <v>0</v>
      </c>
      <c r="G32" s="33">
        <f t="shared" si="1"/>
        <v>0</v>
      </c>
      <c r="H32" s="17" t="s">
        <v>36</v>
      </c>
      <c r="I32" s="10">
        <v>0</v>
      </c>
      <c r="J32" s="10">
        <f t="shared" si="2"/>
        <v>87.07000000000001</v>
      </c>
      <c r="K32" s="35">
        <v>0</v>
      </c>
      <c r="L32" s="12">
        <f t="shared" si="3"/>
        <v>0</v>
      </c>
    </row>
    <row r="33" spans="2:12" ht="15.75">
      <c r="B33" s="26">
        <v>45536</v>
      </c>
      <c r="C33" s="18" t="s">
        <v>30</v>
      </c>
      <c r="D33" s="10">
        <v>0</v>
      </c>
      <c r="E33" s="11">
        <f t="shared" si="0"/>
        <v>34.828</v>
      </c>
      <c r="F33" s="11">
        <v>0</v>
      </c>
      <c r="G33" s="33">
        <f t="shared" si="1"/>
        <v>0</v>
      </c>
      <c r="H33" s="17" t="s">
        <v>24</v>
      </c>
      <c r="I33" s="10">
        <f>D4</f>
        <v>11.94</v>
      </c>
      <c r="J33" s="10">
        <f t="shared" si="2"/>
        <v>99.01</v>
      </c>
      <c r="K33" s="35">
        <v>0</v>
      </c>
      <c r="L33" s="12">
        <f t="shared" si="3"/>
        <v>0</v>
      </c>
    </row>
    <row r="34" spans="2:12" ht="15.75">
      <c r="B34" s="26">
        <v>45566</v>
      </c>
      <c r="C34" s="18" t="s">
        <v>30</v>
      </c>
      <c r="D34" s="10">
        <v>0</v>
      </c>
      <c r="E34" s="11">
        <f t="shared" si="0"/>
        <v>34.828</v>
      </c>
      <c r="F34" s="11">
        <v>0</v>
      </c>
      <c r="G34" s="33">
        <f t="shared" si="1"/>
        <v>0</v>
      </c>
      <c r="H34" s="36" t="s">
        <v>37</v>
      </c>
      <c r="I34" s="10">
        <f>-I27-I22-I25-I28</f>
        <v>-60.949000000000005</v>
      </c>
      <c r="J34" s="10">
        <f t="shared" si="2"/>
        <v>38.061</v>
      </c>
      <c r="K34" s="35">
        <v>0</v>
      </c>
      <c r="L34" s="12">
        <f t="shared" si="3"/>
        <v>0</v>
      </c>
    </row>
    <row r="35" spans="2:12" ht="15.75">
      <c r="B35" s="26">
        <v>45627</v>
      </c>
      <c r="C35" s="18" t="s">
        <v>30</v>
      </c>
      <c r="D35" s="10">
        <v>0</v>
      </c>
      <c r="E35" s="11">
        <f t="shared" si="0"/>
        <v>34.828</v>
      </c>
      <c r="F35" s="11">
        <v>0</v>
      </c>
      <c r="G35" s="33">
        <f t="shared" si="1"/>
        <v>0</v>
      </c>
      <c r="H35" s="17" t="s">
        <v>42</v>
      </c>
      <c r="I35" s="10">
        <f>K35</f>
        <v>-11.94</v>
      </c>
      <c r="J35" s="10">
        <f t="shared" si="2"/>
        <v>26.121000000000002</v>
      </c>
      <c r="K35" s="35">
        <f>-I33</f>
        <v>-11.94</v>
      </c>
      <c r="L35" s="12">
        <f t="shared" si="3"/>
        <v>-11.94</v>
      </c>
    </row>
    <row r="36" spans="2:12" ht="15.75">
      <c r="B36" s="26">
        <v>45627</v>
      </c>
      <c r="C36" s="18" t="s">
        <v>30</v>
      </c>
      <c r="D36" s="10">
        <v>0</v>
      </c>
      <c r="E36" s="11">
        <f t="shared" si="0"/>
        <v>34.828</v>
      </c>
      <c r="F36" s="11">
        <v>0</v>
      </c>
      <c r="G36" s="33">
        <f t="shared" si="1"/>
        <v>0</v>
      </c>
      <c r="H36" s="17" t="s">
        <v>26</v>
      </c>
      <c r="I36" s="10">
        <f>D5</f>
        <v>19.9</v>
      </c>
      <c r="J36" s="10">
        <f t="shared" si="2"/>
        <v>46.021</v>
      </c>
      <c r="K36" s="35">
        <v>0</v>
      </c>
      <c r="L36" s="12">
        <f t="shared" si="3"/>
        <v>-11.94</v>
      </c>
    </row>
    <row r="37" spans="2:12" ht="15.75">
      <c r="B37" s="26">
        <v>45658</v>
      </c>
      <c r="C37" s="18" t="s">
        <v>26</v>
      </c>
      <c r="D37" s="10">
        <f>D13</f>
        <v>8.707</v>
      </c>
      <c r="E37" s="11">
        <f t="shared" si="0"/>
        <v>43.535000000000004</v>
      </c>
      <c r="F37" s="11">
        <v>0</v>
      </c>
      <c r="G37" s="33">
        <f t="shared" si="1"/>
        <v>0</v>
      </c>
      <c r="H37" s="18" t="s">
        <v>30</v>
      </c>
      <c r="I37" s="10">
        <v>0</v>
      </c>
      <c r="J37" s="10">
        <f t="shared" si="2"/>
        <v>46.021</v>
      </c>
      <c r="K37" s="35">
        <v>0</v>
      </c>
      <c r="L37" s="12">
        <f t="shared" si="3"/>
        <v>-11.94</v>
      </c>
    </row>
    <row r="38" spans="2:12" ht="15.75">
      <c r="B38" s="26">
        <v>45689</v>
      </c>
      <c r="C38" s="18" t="s">
        <v>22</v>
      </c>
      <c r="D38" s="10">
        <v>0</v>
      </c>
      <c r="E38" s="11">
        <f t="shared" si="0"/>
        <v>43.535000000000004</v>
      </c>
      <c r="F38" s="11">
        <v>0</v>
      </c>
      <c r="G38" s="33">
        <f t="shared" si="1"/>
        <v>0</v>
      </c>
      <c r="H38" s="18" t="s">
        <v>22</v>
      </c>
      <c r="I38" s="10">
        <v>0</v>
      </c>
      <c r="J38" s="10">
        <f t="shared" si="2"/>
        <v>46.021</v>
      </c>
      <c r="K38" s="35">
        <v>0</v>
      </c>
      <c r="L38" s="12">
        <f t="shared" si="3"/>
        <v>-11.94</v>
      </c>
    </row>
    <row r="39" spans="2:12" ht="15.75">
      <c r="B39" s="26">
        <v>45717</v>
      </c>
      <c r="C39" s="18" t="s">
        <v>30</v>
      </c>
      <c r="D39" s="10">
        <v>0</v>
      </c>
      <c r="E39" s="11">
        <f t="shared" si="0"/>
        <v>43.535000000000004</v>
      </c>
      <c r="F39" s="11">
        <v>0</v>
      </c>
      <c r="G39" s="33">
        <f t="shared" si="1"/>
        <v>0</v>
      </c>
      <c r="H39" s="17" t="s">
        <v>57</v>
      </c>
      <c r="I39" s="10">
        <f>K39</f>
        <v>-19.9</v>
      </c>
      <c r="J39" s="10">
        <f t="shared" si="2"/>
        <v>26.121000000000002</v>
      </c>
      <c r="K39" s="35">
        <f>-I36</f>
        <v>-19.9</v>
      </c>
      <c r="L39" s="12">
        <f t="shared" si="3"/>
        <v>-31.839999999999996</v>
      </c>
    </row>
    <row r="40" spans="2:12" ht="15.75">
      <c r="B40" s="26">
        <v>45717</v>
      </c>
      <c r="C40" s="18" t="s">
        <v>30</v>
      </c>
      <c r="D40" s="10">
        <v>0</v>
      </c>
      <c r="E40" s="11">
        <f t="shared" si="0"/>
        <v>43.535000000000004</v>
      </c>
      <c r="F40" s="11">
        <v>0</v>
      </c>
      <c r="G40" s="33">
        <f t="shared" si="1"/>
        <v>0</v>
      </c>
      <c r="H40" s="17" t="s">
        <v>55</v>
      </c>
      <c r="I40" s="10">
        <f>D6</f>
        <v>23.88</v>
      </c>
      <c r="J40" s="10">
        <f t="shared" si="2"/>
        <v>50.001000000000005</v>
      </c>
      <c r="K40" s="35">
        <v>0</v>
      </c>
      <c r="L40" s="12">
        <f t="shared" si="3"/>
        <v>-31.839999999999996</v>
      </c>
    </row>
    <row r="41" spans="2:12" ht="15.75">
      <c r="B41" s="26">
        <v>45778</v>
      </c>
      <c r="C41" s="18" t="s">
        <v>30</v>
      </c>
      <c r="D41" s="10">
        <v>0</v>
      </c>
      <c r="E41" s="11">
        <f t="shared" si="0"/>
        <v>43.535000000000004</v>
      </c>
      <c r="F41" s="11">
        <v>0</v>
      </c>
      <c r="G41" s="33">
        <f t="shared" si="1"/>
        <v>0</v>
      </c>
      <c r="H41" s="17" t="s">
        <v>58</v>
      </c>
      <c r="I41" s="10">
        <f>K41</f>
        <v>-23.88</v>
      </c>
      <c r="J41" s="10">
        <f t="shared" si="2"/>
        <v>26.121000000000006</v>
      </c>
      <c r="K41" s="35">
        <f>-I40</f>
        <v>-23.88</v>
      </c>
      <c r="L41" s="12">
        <f t="shared" si="3"/>
        <v>-55.72</v>
      </c>
    </row>
    <row r="42" spans="2:12" ht="15.75">
      <c r="B42" s="26">
        <v>45809</v>
      </c>
      <c r="C42" s="18" t="s">
        <v>30</v>
      </c>
      <c r="D42" s="10">
        <v>0</v>
      </c>
      <c r="E42" s="11">
        <f t="shared" si="0"/>
        <v>43.535000000000004</v>
      </c>
      <c r="F42" s="11">
        <v>0</v>
      </c>
      <c r="G42" s="33">
        <f t="shared" si="1"/>
        <v>0</v>
      </c>
      <c r="H42" s="17" t="s">
        <v>56</v>
      </c>
      <c r="I42" s="10">
        <f>D7</f>
        <v>23.88</v>
      </c>
      <c r="J42" s="10">
        <f t="shared" si="2"/>
        <v>50.001000000000005</v>
      </c>
      <c r="K42" s="35">
        <v>0</v>
      </c>
      <c r="L42" s="12">
        <f t="shared" si="3"/>
        <v>-55.72</v>
      </c>
    </row>
    <row r="43" spans="2:12" ht="15.75">
      <c r="B43" s="26">
        <v>45839</v>
      </c>
      <c r="C43" s="18" t="s">
        <v>55</v>
      </c>
      <c r="D43" s="10">
        <f>D13</f>
        <v>8.707</v>
      </c>
      <c r="E43" s="11">
        <f t="shared" si="0"/>
        <v>52.242000000000004</v>
      </c>
      <c r="F43" s="11">
        <v>0</v>
      </c>
      <c r="G43" s="33">
        <f t="shared" si="1"/>
        <v>0</v>
      </c>
      <c r="H43" s="18" t="s">
        <v>30</v>
      </c>
      <c r="I43" s="10">
        <v>0</v>
      </c>
      <c r="J43" s="10">
        <f t="shared" si="2"/>
        <v>50.001000000000005</v>
      </c>
      <c r="K43" s="35">
        <v>0</v>
      </c>
      <c r="L43" s="12">
        <f t="shared" si="3"/>
        <v>-55.72</v>
      </c>
    </row>
    <row r="44" spans="2:12" ht="15.75">
      <c r="B44" s="26">
        <v>45901</v>
      </c>
      <c r="C44" s="18" t="s">
        <v>30</v>
      </c>
      <c r="D44" s="10">
        <v>0</v>
      </c>
      <c r="E44" s="11">
        <f t="shared" si="0"/>
        <v>52.242000000000004</v>
      </c>
      <c r="F44" s="11">
        <v>0</v>
      </c>
      <c r="G44" s="33">
        <f t="shared" si="1"/>
        <v>0</v>
      </c>
      <c r="H44" s="36" t="s">
        <v>59</v>
      </c>
      <c r="I44" s="10">
        <f>K44</f>
        <v>-23.88</v>
      </c>
      <c r="J44" s="10">
        <f t="shared" si="2"/>
        <v>26.121000000000006</v>
      </c>
      <c r="K44" s="35">
        <f>-I42</f>
        <v>-23.88</v>
      </c>
      <c r="L44" s="12">
        <f t="shared" si="3"/>
        <v>-79.6</v>
      </c>
    </row>
    <row r="45" spans="2:12" ht="15.75">
      <c r="B45" s="26">
        <v>45901</v>
      </c>
      <c r="C45" s="18" t="s">
        <v>30</v>
      </c>
      <c r="D45" s="10">
        <v>0</v>
      </c>
      <c r="E45" s="11">
        <f t="shared" si="0"/>
        <v>52.242000000000004</v>
      </c>
      <c r="F45" s="11">
        <v>0</v>
      </c>
      <c r="G45" s="33">
        <f t="shared" si="1"/>
        <v>0</v>
      </c>
      <c r="H45" s="36" t="s">
        <v>60</v>
      </c>
      <c r="I45" s="10">
        <f>D8</f>
        <v>7.917</v>
      </c>
      <c r="J45" s="10">
        <f t="shared" si="2"/>
        <v>34.038000000000004</v>
      </c>
      <c r="K45" s="35">
        <v>0</v>
      </c>
      <c r="L45" s="12">
        <f t="shared" si="3"/>
        <v>-79.6</v>
      </c>
    </row>
    <row r="46" spans="2:12" ht="15.75">
      <c r="B46" s="26">
        <v>45992</v>
      </c>
      <c r="C46" s="18" t="s">
        <v>30</v>
      </c>
      <c r="D46" s="10">
        <v>0</v>
      </c>
      <c r="E46" s="11">
        <f t="shared" si="0"/>
        <v>52.242000000000004</v>
      </c>
      <c r="F46" s="11">
        <v>0</v>
      </c>
      <c r="G46" s="33">
        <f t="shared" si="1"/>
        <v>0</v>
      </c>
      <c r="H46" s="36" t="s">
        <v>61</v>
      </c>
      <c r="I46" s="10">
        <f>K46</f>
        <v>-7.917</v>
      </c>
      <c r="J46" s="10">
        <f t="shared" si="2"/>
        <v>26.121000000000002</v>
      </c>
      <c r="K46" s="35">
        <f>-I45</f>
        <v>-7.917</v>
      </c>
      <c r="L46" s="12">
        <f t="shared" si="3"/>
        <v>-87.517</v>
      </c>
    </row>
    <row r="47" spans="2:12" ht="15.75">
      <c r="B47" s="26">
        <v>45992</v>
      </c>
      <c r="C47" s="18" t="s">
        <v>30</v>
      </c>
      <c r="D47" s="10">
        <v>0</v>
      </c>
      <c r="E47" s="11">
        <f t="shared" si="0"/>
        <v>52.242000000000004</v>
      </c>
      <c r="F47" s="11">
        <v>0</v>
      </c>
      <c r="G47" s="33">
        <f t="shared" si="1"/>
        <v>0</v>
      </c>
      <c r="H47" s="36" t="s">
        <v>62</v>
      </c>
      <c r="I47" s="10">
        <f>D9</f>
        <v>13.194999999999999</v>
      </c>
      <c r="J47" s="10">
        <f t="shared" si="2"/>
        <v>39.316</v>
      </c>
      <c r="K47" s="35">
        <v>0</v>
      </c>
      <c r="L47" s="12">
        <f t="shared" si="3"/>
        <v>-87.517</v>
      </c>
    </row>
    <row r="48" spans="2:12" ht="15.75">
      <c r="B48" s="26">
        <v>46023</v>
      </c>
      <c r="C48" s="18" t="s">
        <v>56</v>
      </c>
      <c r="D48" s="10">
        <f>D13</f>
        <v>8.707</v>
      </c>
      <c r="E48" s="11">
        <f t="shared" si="0"/>
        <v>60.949000000000005</v>
      </c>
      <c r="F48" s="11">
        <v>0</v>
      </c>
      <c r="G48" s="33">
        <f t="shared" si="1"/>
        <v>0</v>
      </c>
      <c r="H48" s="37" t="s">
        <v>30</v>
      </c>
      <c r="I48" s="10">
        <v>0</v>
      </c>
      <c r="J48" s="10">
        <f t="shared" si="2"/>
        <v>39.316</v>
      </c>
      <c r="K48" s="35">
        <v>0</v>
      </c>
      <c r="L48" s="12">
        <f t="shared" si="3"/>
        <v>-87.517</v>
      </c>
    </row>
    <row r="49" spans="2:12" ht="15.75">
      <c r="B49" s="26">
        <v>46054</v>
      </c>
      <c r="C49" s="18" t="s">
        <v>76</v>
      </c>
      <c r="D49" s="10">
        <v>0</v>
      </c>
      <c r="E49" s="11">
        <f t="shared" si="0"/>
        <v>60.949000000000005</v>
      </c>
      <c r="F49" s="11">
        <v>0</v>
      </c>
      <c r="G49" s="33">
        <f t="shared" si="1"/>
        <v>0</v>
      </c>
      <c r="H49" s="18" t="s">
        <v>76</v>
      </c>
      <c r="I49" s="10">
        <v>0</v>
      </c>
      <c r="J49" s="10">
        <f t="shared" si="2"/>
        <v>39.316</v>
      </c>
      <c r="K49" s="35">
        <v>0</v>
      </c>
      <c r="L49" s="12">
        <f t="shared" si="3"/>
        <v>-87.517</v>
      </c>
    </row>
    <row r="50" spans="2:12" ht="15.75">
      <c r="B50" s="26">
        <v>46082</v>
      </c>
      <c r="C50" s="18" t="s">
        <v>30</v>
      </c>
      <c r="D50" s="10">
        <v>0</v>
      </c>
      <c r="E50" s="11">
        <f t="shared" si="0"/>
        <v>60.949000000000005</v>
      </c>
      <c r="F50" s="11">
        <v>0</v>
      </c>
      <c r="G50" s="33">
        <f t="shared" si="1"/>
        <v>0</v>
      </c>
      <c r="H50" s="37" t="s">
        <v>74</v>
      </c>
      <c r="I50" s="10">
        <f>K50</f>
        <v>-13.194999999999999</v>
      </c>
      <c r="J50" s="10">
        <f t="shared" si="2"/>
        <v>26.121000000000002</v>
      </c>
      <c r="K50" s="35">
        <f>-I47</f>
        <v>-13.194999999999999</v>
      </c>
      <c r="L50" s="12">
        <f t="shared" si="3"/>
        <v>-100.71199999999999</v>
      </c>
    </row>
    <row r="51" spans="2:12" ht="15.75">
      <c r="B51" s="26">
        <v>46082</v>
      </c>
      <c r="C51" s="18" t="s">
        <v>30</v>
      </c>
      <c r="D51" s="10">
        <v>0</v>
      </c>
      <c r="E51" s="11">
        <f t="shared" si="0"/>
        <v>60.949000000000005</v>
      </c>
      <c r="F51" s="11">
        <v>0</v>
      </c>
      <c r="G51" s="33">
        <f t="shared" si="1"/>
        <v>0</v>
      </c>
      <c r="H51" s="36" t="s">
        <v>63</v>
      </c>
      <c r="I51" s="10">
        <f>D10</f>
        <v>15.834</v>
      </c>
      <c r="J51" s="10">
        <f t="shared" si="2"/>
        <v>41.955</v>
      </c>
      <c r="K51" s="35">
        <v>0</v>
      </c>
      <c r="L51" s="12">
        <f t="shared" si="3"/>
        <v>-100.71199999999999</v>
      </c>
    </row>
    <row r="52" spans="2:12" ht="15.75">
      <c r="B52" s="26">
        <v>46113</v>
      </c>
      <c r="C52" s="17" t="s">
        <v>25</v>
      </c>
      <c r="D52" s="10">
        <v>0</v>
      </c>
      <c r="E52" s="11">
        <f t="shared" si="0"/>
        <v>60.949000000000005</v>
      </c>
      <c r="F52" s="11">
        <v>0</v>
      </c>
      <c r="G52" s="33">
        <f t="shared" si="1"/>
        <v>0</v>
      </c>
      <c r="H52" s="17" t="s">
        <v>25</v>
      </c>
      <c r="I52" s="10">
        <v>0</v>
      </c>
      <c r="J52" s="10">
        <f t="shared" si="2"/>
        <v>41.955</v>
      </c>
      <c r="K52" s="10">
        <v>0</v>
      </c>
      <c r="L52" s="12">
        <f t="shared" si="3"/>
        <v>-100.71199999999999</v>
      </c>
    </row>
    <row r="53" spans="2:12" ht="15.75">
      <c r="B53" s="26">
        <v>46143</v>
      </c>
      <c r="C53" s="17" t="s">
        <v>52</v>
      </c>
      <c r="D53" s="10">
        <v>0</v>
      </c>
      <c r="E53" s="11">
        <f t="shared" si="0"/>
        <v>60.949000000000005</v>
      </c>
      <c r="F53" s="11">
        <v>0</v>
      </c>
      <c r="G53" s="33">
        <f t="shared" si="1"/>
        <v>0</v>
      </c>
      <c r="H53" s="17" t="s">
        <v>52</v>
      </c>
      <c r="I53" s="10">
        <v>0</v>
      </c>
      <c r="J53" s="10">
        <f t="shared" si="2"/>
        <v>41.955</v>
      </c>
      <c r="K53" s="10">
        <v>0</v>
      </c>
      <c r="L53" s="12">
        <f t="shared" si="3"/>
        <v>-100.71199999999999</v>
      </c>
    </row>
    <row r="54" spans="2:12" ht="15.75">
      <c r="B54" s="26">
        <v>46174</v>
      </c>
      <c r="C54" s="18" t="s">
        <v>30</v>
      </c>
      <c r="D54" s="10">
        <v>0</v>
      </c>
      <c r="E54" s="11">
        <f t="shared" si="0"/>
        <v>60.949000000000005</v>
      </c>
      <c r="F54" s="11">
        <v>0</v>
      </c>
      <c r="G54" s="33">
        <f t="shared" si="1"/>
        <v>0</v>
      </c>
      <c r="H54" s="18" t="s">
        <v>54</v>
      </c>
      <c r="I54" s="10">
        <f>-I51</f>
        <v>-15.834</v>
      </c>
      <c r="J54" s="10">
        <f t="shared" si="2"/>
        <v>26.121</v>
      </c>
      <c r="K54" s="10">
        <v>0</v>
      </c>
      <c r="L54" s="12">
        <f t="shared" si="3"/>
        <v>-100.71199999999999</v>
      </c>
    </row>
    <row r="55" spans="2:12" ht="17" thickBot="1">
      <c r="B55" s="27">
        <v>46204</v>
      </c>
      <c r="C55" s="32" t="s">
        <v>53</v>
      </c>
      <c r="D55" s="14">
        <f>-E54</f>
        <v>-60.949000000000005</v>
      </c>
      <c r="E55" s="15">
        <f t="shared" si="0"/>
        <v>0</v>
      </c>
      <c r="F55" s="15">
        <v>0</v>
      </c>
      <c r="G55" s="34">
        <f t="shared" si="1"/>
        <v>0</v>
      </c>
      <c r="H55" s="19" t="s">
        <v>51</v>
      </c>
      <c r="I55" s="14">
        <f>-I18-I19-I21-I24</f>
        <v>-26.121000000000002</v>
      </c>
      <c r="J55" s="14">
        <f t="shared" si="2"/>
        <v>0</v>
      </c>
      <c r="K55" s="14">
        <v>0</v>
      </c>
      <c r="L55" s="16">
        <f t="shared" si="3"/>
        <v>-100.71199999999999</v>
      </c>
    </row>
    <row r="56" spans="2:12" ht="15.75">
      <c r="B56" s="4"/>
      <c r="C56" s="17"/>
      <c r="D56" s="9"/>
      <c r="E56" s="9"/>
      <c r="F56" s="9"/>
      <c r="G56" s="9"/>
      <c r="H56" s="17"/>
      <c r="I56" s="9"/>
      <c r="J56" s="9"/>
      <c r="K56" s="9"/>
      <c r="L56" s="20"/>
    </row>
    <row r="57" spans="3:12" ht="15.75">
      <c r="C57" s="17"/>
      <c r="D57" s="9"/>
      <c r="E57" s="9"/>
      <c r="F57" s="9"/>
      <c r="G57" s="9"/>
      <c r="H57" s="17"/>
      <c r="I57" s="9"/>
      <c r="J57" s="9"/>
      <c r="K57" s="9"/>
      <c r="L57" s="20"/>
    </row>
    <row r="58" spans="3:12" ht="15.75">
      <c r="C58" s="17"/>
      <c r="D58" s="21" t="s">
        <v>50</v>
      </c>
      <c r="E58" s="11">
        <f>MAX(E18:E55)</f>
        <v>60.949000000000005</v>
      </c>
      <c r="F58" s="9"/>
      <c r="G58" s="9"/>
      <c r="H58" s="17"/>
      <c r="I58" s="21" t="s">
        <v>27</v>
      </c>
      <c r="J58" s="11">
        <f>MAX(J18:J55)</f>
        <v>99.01</v>
      </c>
      <c r="K58" s="9"/>
      <c r="L58" s="20"/>
    </row>
    <row r="59" spans="3:12" ht="15.75">
      <c r="C59" s="17"/>
      <c r="D59" s="21" t="s">
        <v>28</v>
      </c>
      <c r="E59" s="22">
        <f>E58/D3</f>
        <v>0.7656909547738695</v>
      </c>
      <c r="F59" s="9"/>
      <c r="G59" s="9"/>
      <c r="H59" s="17"/>
      <c r="I59" s="21" t="s">
        <v>28</v>
      </c>
      <c r="J59" s="22">
        <f>J58/D3</f>
        <v>1.2438442211055278</v>
      </c>
      <c r="K59" s="9"/>
      <c r="L59" s="20"/>
    </row>
    <row r="60" spans="3:12" ht="15.75">
      <c r="C60" s="17"/>
      <c r="D60" s="21" t="s">
        <v>72</v>
      </c>
      <c r="E60" s="11">
        <f>G55</f>
        <v>0</v>
      </c>
      <c r="F60" s="9"/>
      <c r="G60" s="9"/>
      <c r="H60" s="17"/>
      <c r="I60" s="21" t="s">
        <v>72</v>
      </c>
      <c r="J60" s="11">
        <f>-L55</f>
        <v>100.71199999999999</v>
      </c>
      <c r="K60" s="9"/>
      <c r="L60" s="20"/>
    </row>
    <row r="61" spans="3:12" ht="17" thickBot="1">
      <c r="C61" s="19"/>
      <c r="D61" s="23" t="s">
        <v>29</v>
      </c>
      <c r="E61" s="24">
        <f>G55/D3</f>
        <v>0</v>
      </c>
      <c r="F61" s="13"/>
      <c r="G61" s="13"/>
      <c r="H61" s="19"/>
      <c r="I61" s="23" t="s">
        <v>29</v>
      </c>
      <c r="J61" s="24">
        <f>J60/D3</f>
        <v>1.2652261306532664</v>
      </c>
      <c r="K61" s="13"/>
      <c r="L61" s="25"/>
    </row>
    <row r="62" spans="8:12" ht="15.75">
      <c r="H62" s="9"/>
      <c r="I62" s="9"/>
      <c r="J62" s="9"/>
      <c r="K62" s="9"/>
      <c r="L62" s="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C3C8E-7BBD-6747-8688-47E2403836E9}">
  <dimension ref="A1:C23"/>
  <sheetViews>
    <sheetView workbookViewId="0" topLeftCell="A1">
      <selection activeCell="A21" sqref="A21:XFD21"/>
    </sheetView>
  </sheetViews>
  <sheetFormatPr defaultColWidth="10.625" defaultRowHeight="15.75"/>
  <cols>
    <col min="1" max="1" width="7.00390625" style="0" customWidth="1"/>
    <col min="2" max="2" width="86.00390625" style="0" customWidth="1"/>
  </cols>
  <sheetData>
    <row r="1" ht="15.75">
      <c r="A1" t="s">
        <v>0</v>
      </c>
    </row>
    <row r="2" spans="1:3" ht="15.75">
      <c r="A2" s="50">
        <v>1</v>
      </c>
      <c r="B2" t="s">
        <v>45</v>
      </c>
      <c r="C2">
        <v>1</v>
      </c>
    </row>
    <row r="3" spans="1:3" ht="15.75">
      <c r="A3" s="50">
        <v>2</v>
      </c>
      <c r="B3" t="s">
        <v>46</v>
      </c>
      <c r="C3">
        <v>0</v>
      </c>
    </row>
    <row r="4" spans="1:3" ht="15.75">
      <c r="A4" s="50">
        <v>3</v>
      </c>
      <c r="B4" t="s">
        <v>47</v>
      </c>
      <c r="C4">
        <f>2*C2</f>
        <v>2</v>
      </c>
    </row>
    <row r="5" spans="1:3" ht="15.75">
      <c r="A5" s="50">
        <v>4</v>
      </c>
      <c r="B5" t="s">
        <v>48</v>
      </c>
      <c r="C5">
        <f>C2</f>
        <v>1</v>
      </c>
    </row>
    <row r="6" spans="1:2" ht="34">
      <c r="A6" s="50">
        <v>5</v>
      </c>
      <c r="B6" s="3" t="s">
        <v>85</v>
      </c>
    </row>
    <row r="7" spans="1:2" ht="34">
      <c r="A7" s="50">
        <v>6</v>
      </c>
      <c r="B7" s="3" t="s">
        <v>87</v>
      </c>
    </row>
    <row r="8" spans="1:2" ht="15.75">
      <c r="A8" s="50">
        <v>7</v>
      </c>
      <c r="B8" t="s">
        <v>88</v>
      </c>
    </row>
    <row r="9" spans="1:2" ht="15.75">
      <c r="A9" s="50">
        <v>8</v>
      </c>
      <c r="B9" t="s">
        <v>89</v>
      </c>
    </row>
    <row r="10" spans="1:2" ht="15.75">
      <c r="A10" s="50">
        <v>9</v>
      </c>
      <c r="B10" t="s">
        <v>49</v>
      </c>
    </row>
    <row r="11" spans="1:2" ht="15.75">
      <c r="A11" s="50">
        <v>10</v>
      </c>
      <c r="B11" t="s">
        <v>90</v>
      </c>
    </row>
    <row r="13" ht="15.75">
      <c r="A13" t="s">
        <v>64</v>
      </c>
    </row>
    <row r="14" spans="2:3" ht="15.75">
      <c r="B14" t="s">
        <v>1</v>
      </c>
      <c r="C14" s="5">
        <v>8.707</v>
      </c>
    </row>
    <row r="15" spans="2:3" ht="15.75">
      <c r="B15" t="s">
        <v>3</v>
      </c>
      <c r="C15" s="5">
        <v>2.477</v>
      </c>
    </row>
    <row r="16" spans="2:3" ht="15.75">
      <c r="B16" t="s">
        <v>4</v>
      </c>
      <c r="C16" s="5">
        <v>2.611</v>
      </c>
    </row>
    <row r="17" spans="2:3" ht="15.75">
      <c r="B17" t="s">
        <v>5</v>
      </c>
      <c r="C17" s="5">
        <v>3.98</v>
      </c>
    </row>
    <row r="18" ht="15.75">
      <c r="C18" s="5"/>
    </row>
    <row r="19" spans="1:3" ht="15.75">
      <c r="A19" t="s">
        <v>2</v>
      </c>
      <c r="C19" s="5"/>
    </row>
    <row r="20" spans="2:3" ht="15.75">
      <c r="B20" t="s">
        <v>1</v>
      </c>
      <c r="C20" s="5">
        <v>7.468</v>
      </c>
    </row>
    <row r="21" spans="2:3" ht="15.75">
      <c r="B21" t="s">
        <v>3</v>
      </c>
      <c r="C21" s="5">
        <v>2.531</v>
      </c>
    </row>
    <row r="22" spans="2:3" ht="15.75">
      <c r="B22" t="s">
        <v>4</v>
      </c>
      <c r="C22" s="5">
        <v>2.591</v>
      </c>
    </row>
    <row r="23" spans="2:3" ht="15.75">
      <c r="B23" t="s">
        <v>5</v>
      </c>
      <c r="C23" s="5">
        <v>2.639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0F13-681A-D843-B287-E70979F3AAC3}">
  <dimension ref="A1:L43"/>
  <sheetViews>
    <sheetView workbookViewId="0" topLeftCell="C13">
      <selection activeCell="J41" sqref="J41"/>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73</v>
      </c>
    </row>
    <row r="2" ht="17" thickBot="1"/>
    <row r="3" spans="1:4" ht="17" thickBot="1">
      <c r="A3" s="39" t="s">
        <v>66</v>
      </c>
      <c r="B3" s="40"/>
      <c r="C3" s="40"/>
      <c r="D3" s="41">
        <f>4*Assumptions!C2*Assumptions!C15+8*Assumptions!C4*Assumptions!C15</f>
        <v>49.54</v>
      </c>
    </row>
    <row r="4" spans="1:4" ht="15.75">
      <c r="A4" s="42" t="s">
        <v>67</v>
      </c>
      <c r="B4" s="43"/>
      <c r="C4" s="43"/>
      <c r="D4" s="44">
        <f>Assumptions!C2*Assumptions!C15*3</f>
        <v>7.430999999999999</v>
      </c>
    </row>
    <row r="5" spans="1:4" ht="15.75">
      <c r="A5" s="45" t="s">
        <v>68</v>
      </c>
      <c r="B5" s="38"/>
      <c r="C5" s="38"/>
      <c r="D5" s="46">
        <f>Assumptions!C2*Assumptions!C15*1+Assumptions!C4*Assumptions!C15*2</f>
        <v>12.385</v>
      </c>
    </row>
    <row r="6" spans="1:5" ht="15.75">
      <c r="A6" s="45" t="s">
        <v>69</v>
      </c>
      <c r="B6" s="38"/>
      <c r="C6" s="38"/>
      <c r="D6" s="46">
        <f>Assumptions!C4*Assumptions!C15*3</f>
        <v>14.861999999999998</v>
      </c>
      <c r="E6" s="5"/>
    </row>
    <row r="7" spans="1:5" ht="17" thickBot="1">
      <c r="A7" s="47" t="s">
        <v>70</v>
      </c>
      <c r="B7" s="48"/>
      <c r="C7" s="48"/>
      <c r="D7" s="49">
        <f>Assumptions!C4*Assumptions!C15*3</f>
        <v>14.861999999999998</v>
      </c>
      <c r="E7" s="5"/>
    </row>
    <row r="8" spans="1:5" ht="15.75">
      <c r="A8" s="42" t="s">
        <v>38</v>
      </c>
      <c r="B8" s="43"/>
      <c r="C8" s="43"/>
      <c r="D8" s="44">
        <f>Assumptions!C2*Assumptions!C21*3</f>
        <v>7.593</v>
      </c>
      <c r="E8" s="5"/>
    </row>
    <row r="9" spans="1:5" ht="15.75">
      <c r="A9" s="45" t="s">
        <v>39</v>
      </c>
      <c r="B9" s="38"/>
      <c r="C9" s="38"/>
      <c r="D9" s="46">
        <f>Assumptions!C2*Assumptions!C21*1+Assumptions!C4*Assumptions!C21*2</f>
        <v>12.655000000000001</v>
      </c>
      <c r="E9" s="5"/>
    </row>
    <row r="10" spans="1:5" ht="15.75">
      <c r="A10" s="45" t="s">
        <v>40</v>
      </c>
      <c r="B10" s="38"/>
      <c r="C10" s="38"/>
      <c r="D10" s="46">
        <f>Assumptions!C4*Assumptions!C21*3</f>
        <v>15.186</v>
      </c>
      <c r="E10" s="5"/>
    </row>
    <row r="11" spans="1:5" ht="17" thickBot="1">
      <c r="A11" s="47" t="s">
        <v>41</v>
      </c>
      <c r="B11" s="48"/>
      <c r="C11" s="48"/>
      <c r="D11" s="49">
        <f>Assumptions!C4*Assumptions!C21*3</f>
        <v>15.186</v>
      </c>
      <c r="E11" s="5"/>
    </row>
    <row r="12" ht="15.75">
      <c r="D12" s="5"/>
    </row>
    <row r="13" spans="1:4" ht="15.75">
      <c r="A13" t="s">
        <v>32</v>
      </c>
      <c r="D13" s="5">
        <f>Assumptions!C14</f>
        <v>8.707</v>
      </c>
    </row>
    <row r="14" spans="1:4" ht="15.75">
      <c r="A14" t="s">
        <v>31</v>
      </c>
      <c r="D14" s="5">
        <f>MIN(D13,(D3/3))</f>
        <v>8.707</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6.707000000000001</v>
      </c>
      <c r="J19" s="10">
        <f>J18+I19</f>
        <v>8.707</v>
      </c>
      <c r="K19" s="10">
        <v>0</v>
      </c>
      <c r="L19" s="12">
        <f>K19+L18</f>
        <v>0</v>
      </c>
    </row>
    <row r="20" spans="2:12" ht="15.75">
      <c r="B20" s="26">
        <v>44228</v>
      </c>
      <c r="C20" s="17" t="s">
        <v>16</v>
      </c>
      <c r="D20" s="10">
        <v>0</v>
      </c>
      <c r="E20" s="11">
        <f aca="true" t="shared" si="0" ref="E20:E36">D20+E19</f>
        <v>8.707</v>
      </c>
      <c r="F20" s="11">
        <v>0</v>
      </c>
      <c r="G20" s="33">
        <f aca="true" t="shared" si="1" ref="G20:G36">F20+G19</f>
        <v>0</v>
      </c>
      <c r="H20" s="17" t="s">
        <v>16</v>
      </c>
      <c r="I20" s="10">
        <v>0</v>
      </c>
      <c r="J20" s="10">
        <f aca="true" t="shared" si="2" ref="J20:J36">J19+I20</f>
        <v>8.707</v>
      </c>
      <c r="K20" s="10">
        <v>0</v>
      </c>
      <c r="L20" s="12">
        <f aca="true" t="shared" si="3" ref="L20:L36">K20+L19</f>
        <v>0</v>
      </c>
    </row>
    <row r="21" spans="2:12" ht="15.75">
      <c r="B21" s="26">
        <v>44562</v>
      </c>
      <c r="C21" s="17" t="s">
        <v>17</v>
      </c>
      <c r="D21" s="10">
        <f>D13</f>
        <v>8.707</v>
      </c>
      <c r="E21" s="11">
        <f t="shared" si="0"/>
        <v>17.414</v>
      </c>
      <c r="F21" s="11">
        <v>0</v>
      </c>
      <c r="G21" s="33">
        <f t="shared" si="1"/>
        <v>0</v>
      </c>
      <c r="H21" s="17" t="s">
        <v>17</v>
      </c>
      <c r="I21" s="10">
        <f>D14</f>
        <v>8.707</v>
      </c>
      <c r="J21" s="10">
        <f t="shared" si="2"/>
        <v>17.414</v>
      </c>
      <c r="K21" s="10">
        <v>0</v>
      </c>
      <c r="L21" s="12">
        <f t="shared" si="3"/>
        <v>0</v>
      </c>
    </row>
    <row r="22" spans="2:12" ht="15.75">
      <c r="B22" s="26">
        <v>44562</v>
      </c>
      <c r="C22" s="18" t="s">
        <v>30</v>
      </c>
      <c r="D22" s="10">
        <v>0</v>
      </c>
      <c r="E22" s="11">
        <f t="shared" si="0"/>
        <v>17.414</v>
      </c>
      <c r="F22" s="11">
        <v>0</v>
      </c>
      <c r="G22" s="33">
        <f t="shared" si="1"/>
        <v>0</v>
      </c>
      <c r="H22" s="17" t="s">
        <v>33</v>
      </c>
      <c r="I22" s="10">
        <f>0*MIN((1*D14),(D3/6))</f>
        <v>0</v>
      </c>
      <c r="J22" s="10">
        <f t="shared" si="2"/>
        <v>17.414</v>
      </c>
      <c r="K22" s="10">
        <v>0</v>
      </c>
      <c r="L22" s="12">
        <f t="shared" si="3"/>
        <v>0</v>
      </c>
    </row>
    <row r="23" spans="2:12" ht="15.75">
      <c r="B23" s="26">
        <v>44593</v>
      </c>
      <c r="C23" s="17" t="s">
        <v>18</v>
      </c>
      <c r="D23" s="10">
        <v>0</v>
      </c>
      <c r="E23" s="11">
        <f t="shared" si="0"/>
        <v>17.414</v>
      </c>
      <c r="F23" s="11">
        <v>0</v>
      </c>
      <c r="G23" s="33">
        <f t="shared" si="1"/>
        <v>0</v>
      </c>
      <c r="H23" s="17" t="s">
        <v>18</v>
      </c>
      <c r="I23" s="10">
        <v>0</v>
      </c>
      <c r="J23" s="10">
        <f t="shared" si="2"/>
        <v>17.414</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8.707</v>
      </c>
      <c r="J24" s="10">
        <f t="shared" si="2"/>
        <v>26.121000000000002</v>
      </c>
      <c r="K24" s="10">
        <v>0</v>
      </c>
      <c r="L24" s="12">
        <f t="shared" si="3"/>
        <v>0</v>
      </c>
    </row>
    <row r="25" spans="2:12" ht="15.75">
      <c r="B25" s="26">
        <v>44927</v>
      </c>
      <c r="C25" s="18" t="s">
        <v>30</v>
      </c>
      <c r="D25" s="10">
        <v>0</v>
      </c>
      <c r="E25" s="11">
        <f t="shared" si="0"/>
        <v>26.121000000000002</v>
      </c>
      <c r="F25" s="11">
        <v>0</v>
      </c>
      <c r="G25" s="33">
        <f t="shared" si="1"/>
        <v>0</v>
      </c>
      <c r="H25" s="17" t="s">
        <v>34</v>
      </c>
      <c r="I25" s="10">
        <f>0*MIN((3*D14),(D3/2))-I22</f>
        <v>0</v>
      </c>
      <c r="J25" s="10">
        <f t="shared" si="2"/>
        <v>26.121000000000002</v>
      </c>
      <c r="K25" s="10">
        <v>0</v>
      </c>
      <c r="L25" s="12">
        <f t="shared" si="3"/>
        <v>0</v>
      </c>
    </row>
    <row r="26" spans="2:12" ht="15.75">
      <c r="B26" s="26">
        <v>44958</v>
      </c>
      <c r="C26" s="17" t="s">
        <v>20</v>
      </c>
      <c r="D26" s="10">
        <v>0</v>
      </c>
      <c r="E26" s="11">
        <f t="shared" si="0"/>
        <v>26.121000000000002</v>
      </c>
      <c r="F26" s="11">
        <v>0</v>
      </c>
      <c r="G26" s="33">
        <f t="shared" si="1"/>
        <v>0</v>
      </c>
      <c r="H26" s="17" t="s">
        <v>20</v>
      </c>
      <c r="I26" s="10">
        <v>0</v>
      </c>
      <c r="J26" s="10">
        <f t="shared" si="2"/>
        <v>26.121000000000002</v>
      </c>
      <c r="K26" s="10">
        <v>0</v>
      </c>
      <c r="L26" s="12">
        <f t="shared" si="3"/>
        <v>0</v>
      </c>
    </row>
    <row r="27" spans="2:12" ht="15.75">
      <c r="B27" s="26">
        <v>45139</v>
      </c>
      <c r="C27" s="18" t="s">
        <v>30</v>
      </c>
      <c r="D27" s="10">
        <v>0</v>
      </c>
      <c r="E27" s="11">
        <f t="shared" si="0"/>
        <v>26.121000000000002</v>
      </c>
      <c r="F27" s="11">
        <v>0</v>
      </c>
      <c r="G27" s="33">
        <f t="shared" si="1"/>
        <v>0</v>
      </c>
      <c r="H27" s="17" t="s">
        <v>36</v>
      </c>
      <c r="I27" s="10">
        <v>0</v>
      </c>
      <c r="J27" s="10">
        <f t="shared" si="2"/>
        <v>26.121000000000002</v>
      </c>
      <c r="K27" s="10">
        <v>0</v>
      </c>
      <c r="L27" s="12">
        <f t="shared" si="3"/>
        <v>0</v>
      </c>
    </row>
    <row r="28" spans="2:12" ht="15.75">
      <c r="B28" s="26">
        <v>45200</v>
      </c>
      <c r="C28" s="18" t="s">
        <v>30</v>
      </c>
      <c r="D28" s="10">
        <v>0</v>
      </c>
      <c r="E28" s="11">
        <f t="shared" si="0"/>
        <v>26.121000000000002</v>
      </c>
      <c r="F28" s="11">
        <v>0</v>
      </c>
      <c r="G28" s="33">
        <f t="shared" si="1"/>
        <v>0</v>
      </c>
      <c r="H28" s="17" t="s">
        <v>37</v>
      </c>
      <c r="I28" s="10">
        <v>0</v>
      </c>
      <c r="J28" s="10">
        <f t="shared" si="2"/>
        <v>26.121000000000002</v>
      </c>
      <c r="K28" s="10">
        <v>0</v>
      </c>
      <c r="L28" s="12">
        <f t="shared" si="3"/>
        <v>0</v>
      </c>
    </row>
    <row r="29" spans="2:12" ht="15.75">
      <c r="B29" s="26">
        <v>45292</v>
      </c>
      <c r="C29" s="18" t="s">
        <v>30</v>
      </c>
      <c r="D29" s="10">
        <v>0</v>
      </c>
      <c r="E29" s="11">
        <f t="shared" si="0"/>
        <v>26.121000000000002</v>
      </c>
      <c r="F29" s="11">
        <v>0</v>
      </c>
      <c r="G29" s="33">
        <f t="shared" si="1"/>
        <v>0</v>
      </c>
      <c r="H29" s="17" t="s">
        <v>21</v>
      </c>
      <c r="I29" s="10">
        <f>D14*0</f>
        <v>0</v>
      </c>
      <c r="J29" s="10">
        <f t="shared" si="2"/>
        <v>26.121000000000002</v>
      </c>
      <c r="K29" s="10">
        <v>0</v>
      </c>
      <c r="L29" s="12">
        <f t="shared" si="3"/>
        <v>0</v>
      </c>
    </row>
    <row r="30" spans="2:12" ht="15.75">
      <c r="B30" s="26">
        <v>45292</v>
      </c>
      <c r="C30" s="18" t="s">
        <v>30</v>
      </c>
      <c r="D30" s="10">
        <v>0</v>
      </c>
      <c r="E30" s="11">
        <f t="shared" si="0"/>
        <v>26.121000000000002</v>
      </c>
      <c r="F30" s="11">
        <v>0</v>
      </c>
      <c r="G30" s="33">
        <f t="shared" si="1"/>
        <v>0</v>
      </c>
      <c r="H30" s="17" t="s">
        <v>35</v>
      </c>
      <c r="I30" s="10">
        <f>0*MIN((6*D14),(D3))-I25-I22</f>
        <v>0</v>
      </c>
      <c r="J30" s="10">
        <f t="shared" si="2"/>
        <v>26.121000000000002</v>
      </c>
      <c r="K30" s="10">
        <v>0</v>
      </c>
      <c r="L30" s="12">
        <f t="shared" si="3"/>
        <v>0</v>
      </c>
    </row>
    <row r="31" spans="2:12" ht="15.75">
      <c r="B31" s="26">
        <v>45323</v>
      </c>
      <c r="C31" s="17" t="s">
        <v>22</v>
      </c>
      <c r="D31" s="10">
        <v>0</v>
      </c>
      <c r="E31" s="11">
        <f t="shared" si="0"/>
        <v>26.121000000000002</v>
      </c>
      <c r="F31" s="11">
        <v>0</v>
      </c>
      <c r="G31" s="33">
        <f t="shared" si="1"/>
        <v>0</v>
      </c>
      <c r="H31" s="17" t="s">
        <v>22</v>
      </c>
      <c r="I31" s="10">
        <v>0</v>
      </c>
      <c r="J31" s="10">
        <f t="shared" si="2"/>
        <v>26.121000000000002</v>
      </c>
      <c r="K31" s="10">
        <v>0</v>
      </c>
      <c r="L31" s="12">
        <f t="shared" si="3"/>
        <v>0</v>
      </c>
    </row>
    <row r="32" spans="2:12" ht="15.75">
      <c r="B32" s="26">
        <v>45413</v>
      </c>
      <c r="C32" s="18" t="s">
        <v>30</v>
      </c>
      <c r="D32" s="10">
        <v>0</v>
      </c>
      <c r="E32" s="11">
        <f t="shared" si="0"/>
        <v>26.121000000000002</v>
      </c>
      <c r="F32" s="11">
        <v>0</v>
      </c>
      <c r="G32" s="33">
        <f t="shared" si="1"/>
        <v>0</v>
      </c>
      <c r="H32" s="17" t="s">
        <v>37</v>
      </c>
      <c r="I32" s="10">
        <f>-I22-I25-I30-I29</f>
        <v>0</v>
      </c>
      <c r="J32" s="10">
        <f t="shared" si="2"/>
        <v>26.121000000000002</v>
      </c>
      <c r="K32" s="10">
        <v>0</v>
      </c>
      <c r="L32" s="12">
        <f t="shared" si="3"/>
        <v>0</v>
      </c>
    </row>
    <row r="33" spans="2:12" ht="15.75">
      <c r="B33" s="26">
        <v>45383</v>
      </c>
      <c r="C33" s="17" t="s">
        <v>25</v>
      </c>
      <c r="D33" s="10">
        <v>0</v>
      </c>
      <c r="E33" s="11">
        <f t="shared" si="0"/>
        <v>26.121000000000002</v>
      </c>
      <c r="F33" s="11">
        <v>0</v>
      </c>
      <c r="G33" s="33">
        <f t="shared" si="1"/>
        <v>0</v>
      </c>
      <c r="H33" s="17" t="s">
        <v>25</v>
      </c>
      <c r="I33" s="10">
        <v>0</v>
      </c>
      <c r="J33" s="10">
        <f t="shared" si="2"/>
        <v>26.121000000000002</v>
      </c>
      <c r="K33" s="10">
        <v>0</v>
      </c>
      <c r="L33" s="12">
        <f t="shared" si="3"/>
        <v>0</v>
      </c>
    </row>
    <row r="34" spans="2:12" ht="15.75">
      <c r="B34" s="26">
        <v>45413</v>
      </c>
      <c r="C34" s="17" t="s">
        <v>52</v>
      </c>
      <c r="D34" s="10">
        <v>0</v>
      </c>
      <c r="E34" s="11">
        <f t="shared" si="0"/>
        <v>26.121000000000002</v>
      </c>
      <c r="F34" s="11">
        <v>0</v>
      </c>
      <c r="G34" s="33">
        <f t="shared" si="1"/>
        <v>0</v>
      </c>
      <c r="H34" s="17" t="s">
        <v>52</v>
      </c>
      <c r="I34" s="10">
        <v>0</v>
      </c>
      <c r="J34" s="10">
        <f t="shared" si="2"/>
        <v>26.121000000000002</v>
      </c>
      <c r="K34" s="10">
        <v>0</v>
      </c>
      <c r="L34" s="12">
        <f t="shared" si="3"/>
        <v>0</v>
      </c>
    </row>
    <row r="35" spans="2:12" ht="15.75">
      <c r="B35" s="26">
        <v>45444</v>
      </c>
      <c r="C35" s="17" t="s">
        <v>23</v>
      </c>
      <c r="D35" s="10">
        <v>0</v>
      </c>
      <c r="E35" s="11">
        <f t="shared" si="0"/>
        <v>26.121000000000002</v>
      </c>
      <c r="F35" s="11">
        <v>0</v>
      </c>
      <c r="G35" s="33">
        <f t="shared" si="1"/>
        <v>0</v>
      </c>
      <c r="H35" s="17" t="s">
        <v>23</v>
      </c>
      <c r="I35" s="10">
        <v>0</v>
      </c>
      <c r="J35" s="10">
        <f t="shared" si="2"/>
        <v>26.121000000000002</v>
      </c>
      <c r="K35" s="10">
        <v>0</v>
      </c>
      <c r="L35" s="12">
        <f t="shared" si="3"/>
        <v>0</v>
      </c>
    </row>
    <row r="36" spans="2:12" ht="17" thickBot="1">
      <c r="B36" s="27">
        <v>45474</v>
      </c>
      <c r="C36" s="19" t="s">
        <v>71</v>
      </c>
      <c r="D36" s="14">
        <f>-E35</f>
        <v>-26.121000000000002</v>
      </c>
      <c r="E36" s="15">
        <f t="shared" si="0"/>
        <v>0</v>
      </c>
      <c r="F36" s="15">
        <v>0</v>
      </c>
      <c r="G36" s="34">
        <f t="shared" si="1"/>
        <v>0</v>
      </c>
      <c r="H36" s="19" t="s">
        <v>51</v>
      </c>
      <c r="I36" s="14">
        <f>-I18-I19-I21-I24</f>
        <v>-26.121000000000002</v>
      </c>
      <c r="J36" s="14">
        <f t="shared" si="2"/>
        <v>0</v>
      </c>
      <c r="K36" s="14">
        <v>0</v>
      </c>
      <c r="L36" s="16">
        <f t="shared" si="3"/>
        <v>0</v>
      </c>
    </row>
    <row r="37" spans="2:12" ht="15.75">
      <c r="B37" s="4"/>
      <c r="C37" s="17"/>
      <c r="D37" s="9"/>
      <c r="E37" s="9"/>
      <c r="F37" s="9"/>
      <c r="G37" s="9"/>
      <c r="H37" s="17"/>
      <c r="I37" s="9"/>
      <c r="J37" s="9"/>
      <c r="K37" s="9"/>
      <c r="L37" s="20"/>
    </row>
    <row r="38" spans="3:12" ht="15.75">
      <c r="C38" s="17"/>
      <c r="D38" s="9"/>
      <c r="E38" s="9"/>
      <c r="F38" s="9"/>
      <c r="G38" s="9"/>
      <c r="H38" s="17"/>
      <c r="I38" s="9"/>
      <c r="J38" s="9"/>
      <c r="K38" s="9"/>
      <c r="L38" s="20"/>
    </row>
    <row r="39" spans="3:12" ht="15.75">
      <c r="C39" s="17"/>
      <c r="D39" s="21" t="s">
        <v>50</v>
      </c>
      <c r="E39" s="11">
        <f>MAX(E18:E36)</f>
        <v>26.121000000000002</v>
      </c>
      <c r="F39" s="9"/>
      <c r="G39" s="9"/>
      <c r="H39" s="17"/>
      <c r="I39" s="21" t="s">
        <v>27</v>
      </c>
      <c r="J39" s="11">
        <f>MAX(J18:J36)</f>
        <v>26.121000000000002</v>
      </c>
      <c r="K39" s="9"/>
      <c r="L39" s="20"/>
    </row>
    <row r="40" spans="3:12" ht="15.75">
      <c r="C40" s="17"/>
      <c r="D40" s="21" t="s">
        <v>28</v>
      </c>
      <c r="E40" s="22">
        <f>E39/D3</f>
        <v>0.5272708922083166</v>
      </c>
      <c r="F40" s="9"/>
      <c r="G40" s="9"/>
      <c r="H40" s="17"/>
      <c r="I40" s="21" t="s">
        <v>28</v>
      </c>
      <c r="J40" s="22">
        <f>J39/D3</f>
        <v>0.5272708922083166</v>
      </c>
      <c r="K40" s="9"/>
      <c r="L40" s="20"/>
    </row>
    <row r="41" spans="3:12" ht="15.75">
      <c r="C41" s="17"/>
      <c r="D41" s="21" t="s">
        <v>72</v>
      </c>
      <c r="E41" s="11">
        <f>G36</f>
        <v>0</v>
      </c>
      <c r="F41" s="9"/>
      <c r="G41" s="9"/>
      <c r="H41" s="17"/>
      <c r="I41" s="21" t="s">
        <v>72</v>
      </c>
      <c r="J41" s="11">
        <f>L36</f>
        <v>0</v>
      </c>
      <c r="K41" s="9"/>
      <c r="L41" s="20"/>
    </row>
    <row r="42" spans="3:12" ht="17" thickBot="1">
      <c r="C42" s="19"/>
      <c r="D42" s="23" t="s">
        <v>29</v>
      </c>
      <c r="E42" s="24">
        <f>E41/D3</f>
        <v>0</v>
      </c>
      <c r="F42" s="13"/>
      <c r="G42" s="13"/>
      <c r="H42" s="19"/>
      <c r="I42" s="23" t="s">
        <v>29</v>
      </c>
      <c r="J42" s="24">
        <f>J41/D3</f>
        <v>0</v>
      </c>
      <c r="K42" s="13"/>
      <c r="L42" s="25"/>
    </row>
    <row r="43" spans="8:12" ht="15.75">
      <c r="H43" s="9"/>
      <c r="I43" s="9"/>
      <c r="J43" s="9"/>
      <c r="K43" s="9"/>
      <c r="L43" s="9"/>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948CC-0D7A-3044-83A2-C8E4EADCFDAC}">
  <dimension ref="A1:L49"/>
  <sheetViews>
    <sheetView workbookViewId="0" topLeftCell="A1">
      <selection activeCell="A2" sqref="A2"/>
    </sheetView>
  </sheetViews>
  <sheetFormatPr defaultColWidth="10.625" defaultRowHeight="15.75"/>
  <cols>
    <col min="2" max="2" width="9.00390625" style="0" customWidth="1"/>
    <col min="3" max="3" width="46.875" style="0" customWidth="1"/>
    <col min="4" max="7" width="12.875" style="0" customWidth="1"/>
    <col min="8" max="8" width="51.125" style="0" customWidth="1"/>
    <col min="9" max="12" width="12.875" style="0" customWidth="1"/>
  </cols>
  <sheetData>
    <row r="1" ht="15.75">
      <c r="A1" s="1" t="s">
        <v>113</v>
      </c>
    </row>
    <row r="2" ht="17" thickBot="1"/>
    <row r="3" spans="1:4" ht="17" thickBot="1">
      <c r="A3" s="39" t="s">
        <v>66</v>
      </c>
      <c r="B3" s="40"/>
      <c r="C3" s="40"/>
      <c r="D3" s="41">
        <f>4*Assumptions!C2*Assumptions!C15+8*Assumptions!C4*Assumptions!C15</f>
        <v>49.54</v>
      </c>
    </row>
    <row r="4" spans="1:4" ht="15.75">
      <c r="A4" s="42" t="s">
        <v>67</v>
      </c>
      <c r="B4" s="43"/>
      <c r="C4" s="43"/>
      <c r="D4" s="44">
        <f>Assumptions!C2*Assumptions!C15*3</f>
        <v>7.430999999999999</v>
      </c>
    </row>
    <row r="5" spans="1:4" ht="15.75">
      <c r="A5" s="45" t="s">
        <v>68</v>
      </c>
      <c r="B5" s="38"/>
      <c r="C5" s="38"/>
      <c r="D5" s="46">
        <f>Assumptions!C2*Assumptions!C15*1+Assumptions!C4*Assumptions!C15*2</f>
        <v>12.385</v>
      </c>
    </row>
    <row r="6" spans="1:4" ht="15.75">
      <c r="A6" s="45" t="s">
        <v>69</v>
      </c>
      <c r="B6" s="38"/>
      <c r="C6" s="38"/>
      <c r="D6" s="46">
        <f>Assumptions!C4*Assumptions!C15*3</f>
        <v>14.861999999999998</v>
      </c>
    </row>
    <row r="7" spans="1:4" ht="17" thickBot="1">
      <c r="A7" s="47" t="s">
        <v>70</v>
      </c>
      <c r="B7" s="48"/>
      <c r="C7" s="48"/>
      <c r="D7" s="49">
        <f>Assumptions!C4*Assumptions!C15*3</f>
        <v>14.861999999999998</v>
      </c>
    </row>
    <row r="8" spans="1:4" ht="15.75">
      <c r="A8" s="42" t="s">
        <v>38</v>
      </c>
      <c r="B8" s="43"/>
      <c r="C8" s="43"/>
      <c r="D8" s="44">
        <f>Assumptions!C2*Assumptions!C21*3</f>
        <v>7.593</v>
      </c>
    </row>
    <row r="9" spans="1:4" ht="15.75">
      <c r="A9" s="45" t="s">
        <v>39</v>
      </c>
      <c r="B9" s="38"/>
      <c r="C9" s="38"/>
      <c r="D9" s="46">
        <f>Assumptions!C2*Assumptions!C21*1+Assumptions!C4*Assumptions!C21*2</f>
        <v>12.655000000000001</v>
      </c>
    </row>
    <row r="10" spans="1:4" ht="15.75">
      <c r="A10" s="45" t="s">
        <v>40</v>
      </c>
      <c r="B10" s="38"/>
      <c r="C10" s="38"/>
      <c r="D10" s="46">
        <f>Assumptions!C4*Assumptions!C21*3</f>
        <v>15.186</v>
      </c>
    </row>
    <row r="11" spans="1:4" ht="17" thickBot="1">
      <c r="A11" s="47" t="s">
        <v>41</v>
      </c>
      <c r="B11" s="48"/>
      <c r="C11" s="48"/>
      <c r="D11" s="49">
        <f>Assumptions!C4*Assumptions!C21*3</f>
        <v>15.186</v>
      </c>
    </row>
    <row r="12" ht="15.75">
      <c r="D12" s="5"/>
    </row>
    <row r="13" spans="1:4" ht="15.75">
      <c r="A13" t="s">
        <v>32</v>
      </c>
      <c r="D13" s="5">
        <f>Assumptions!C14</f>
        <v>8.707</v>
      </c>
    </row>
    <row r="14" spans="1:4" ht="15.75">
      <c r="A14" t="s">
        <v>31</v>
      </c>
      <c r="D14" s="5">
        <f>MIN(D13,(D3/3))</f>
        <v>8.707</v>
      </c>
    </row>
    <row r="15" ht="17" thickBot="1">
      <c r="A15" s="2"/>
    </row>
    <row r="16" spans="2:12" ht="15.75">
      <c r="B16" s="6"/>
      <c r="C16" s="28" t="s">
        <v>12</v>
      </c>
      <c r="D16" s="7"/>
      <c r="E16" s="7"/>
      <c r="F16" s="7"/>
      <c r="G16" s="7"/>
      <c r="H16" s="28" t="s">
        <v>13</v>
      </c>
      <c r="I16" s="7"/>
      <c r="J16" s="7"/>
      <c r="K16" s="7"/>
      <c r="L16" s="8"/>
    </row>
    <row r="17" spans="2:12" s="3" customFormat="1" ht="34">
      <c r="B17" s="29" t="s">
        <v>6</v>
      </c>
      <c r="C17" s="29" t="s">
        <v>7</v>
      </c>
      <c r="D17" s="30" t="s">
        <v>9</v>
      </c>
      <c r="E17" s="30" t="s">
        <v>8</v>
      </c>
      <c r="F17" s="30" t="s">
        <v>10</v>
      </c>
      <c r="G17" s="30" t="s">
        <v>11</v>
      </c>
      <c r="H17" s="29" t="s">
        <v>7</v>
      </c>
      <c r="I17" s="30" t="s">
        <v>9</v>
      </c>
      <c r="J17" s="30" t="s">
        <v>8</v>
      </c>
      <c r="K17" s="30" t="s">
        <v>10</v>
      </c>
      <c r="L17" s="31" t="s">
        <v>11</v>
      </c>
    </row>
    <row r="18" spans="2:12" ht="15.75">
      <c r="B18" s="26">
        <v>44136</v>
      </c>
      <c r="C18" s="17" t="s">
        <v>14</v>
      </c>
      <c r="D18" s="10">
        <v>2</v>
      </c>
      <c r="E18" s="11">
        <f>D18</f>
        <v>2</v>
      </c>
      <c r="F18" s="11">
        <v>0</v>
      </c>
      <c r="G18" s="11">
        <v>0</v>
      </c>
      <c r="H18" s="17" t="s">
        <v>14</v>
      </c>
      <c r="I18" s="10">
        <f>2</f>
        <v>2</v>
      </c>
      <c r="J18" s="10">
        <f>I18</f>
        <v>2</v>
      </c>
      <c r="K18" s="10">
        <v>0</v>
      </c>
      <c r="L18" s="12">
        <v>0</v>
      </c>
    </row>
    <row r="19" spans="2:12" ht="15.75">
      <c r="B19" s="26">
        <v>44197</v>
      </c>
      <c r="C19" s="17" t="s">
        <v>15</v>
      </c>
      <c r="D19" s="10">
        <f>D13-D18</f>
        <v>6.707000000000001</v>
      </c>
      <c r="E19" s="11">
        <f>D19+E18</f>
        <v>8.707</v>
      </c>
      <c r="F19" s="11">
        <v>0</v>
      </c>
      <c r="G19" s="11">
        <f>F19+G18</f>
        <v>0</v>
      </c>
      <c r="H19" s="17" t="s">
        <v>15</v>
      </c>
      <c r="I19" s="10">
        <f>D14-I18</f>
        <v>6.707000000000001</v>
      </c>
      <c r="J19" s="10">
        <f>J18+I19</f>
        <v>8.707</v>
      </c>
      <c r="K19" s="10">
        <v>0</v>
      </c>
      <c r="L19" s="12">
        <f>K19+L18</f>
        <v>0</v>
      </c>
    </row>
    <row r="20" spans="2:12" ht="15.75">
      <c r="B20" s="26">
        <v>44228</v>
      </c>
      <c r="C20" s="17" t="s">
        <v>75</v>
      </c>
      <c r="D20" s="10">
        <v>0</v>
      </c>
      <c r="E20" s="11">
        <f aca="true" t="shared" si="0" ref="E20:E42">D20+E19</f>
        <v>8.707</v>
      </c>
      <c r="F20" s="11">
        <v>0</v>
      </c>
      <c r="G20" s="11">
        <f aca="true" t="shared" si="1" ref="G20:G42">F20+G19</f>
        <v>0</v>
      </c>
      <c r="H20" s="17" t="s">
        <v>75</v>
      </c>
      <c r="I20" s="10">
        <v>0</v>
      </c>
      <c r="J20" s="10">
        <f aca="true" t="shared" si="2" ref="J20:J42">J19+I20</f>
        <v>8.707</v>
      </c>
      <c r="K20" s="10">
        <v>0</v>
      </c>
      <c r="L20" s="12">
        <f aca="true" t="shared" si="3" ref="L20:L42">K20+L19</f>
        <v>0</v>
      </c>
    </row>
    <row r="21" spans="2:12" ht="15.75">
      <c r="B21" s="26">
        <v>44562</v>
      </c>
      <c r="C21" s="17" t="s">
        <v>17</v>
      </c>
      <c r="D21" s="10">
        <f>D13</f>
        <v>8.707</v>
      </c>
      <c r="E21" s="11">
        <f t="shared" si="0"/>
        <v>17.414</v>
      </c>
      <c r="F21" s="11">
        <v>0</v>
      </c>
      <c r="G21" s="11">
        <f t="shared" si="1"/>
        <v>0</v>
      </c>
      <c r="H21" s="17" t="s">
        <v>17</v>
      </c>
      <c r="I21" s="10">
        <f>D14</f>
        <v>8.707</v>
      </c>
      <c r="J21" s="10">
        <f t="shared" si="2"/>
        <v>17.414</v>
      </c>
      <c r="K21" s="10">
        <v>0</v>
      </c>
      <c r="L21" s="12">
        <f t="shared" si="3"/>
        <v>0</v>
      </c>
    </row>
    <row r="22" spans="2:12" ht="15.75">
      <c r="B22" s="26">
        <v>44562</v>
      </c>
      <c r="C22" s="18" t="s">
        <v>30</v>
      </c>
      <c r="D22" s="10">
        <v>0</v>
      </c>
      <c r="E22" s="11">
        <f t="shared" si="0"/>
        <v>17.414</v>
      </c>
      <c r="F22" s="11">
        <v>0</v>
      </c>
      <c r="G22" s="11">
        <f t="shared" si="1"/>
        <v>0</v>
      </c>
      <c r="H22" s="17" t="s">
        <v>33</v>
      </c>
      <c r="I22" s="10">
        <f>MIN((1*D14),(D3/6))</f>
        <v>8.256666666666666</v>
      </c>
      <c r="J22" s="10">
        <f t="shared" si="2"/>
        <v>25.67066666666667</v>
      </c>
      <c r="K22" s="10">
        <v>0</v>
      </c>
      <c r="L22" s="12">
        <f t="shared" si="3"/>
        <v>0</v>
      </c>
    </row>
    <row r="23" spans="2:12" ht="15.75">
      <c r="B23" s="26">
        <v>44593</v>
      </c>
      <c r="C23" s="17" t="s">
        <v>16</v>
      </c>
      <c r="D23" s="10">
        <v>0</v>
      </c>
      <c r="E23" s="11">
        <f t="shared" si="0"/>
        <v>17.414</v>
      </c>
      <c r="F23" s="11">
        <v>0</v>
      </c>
      <c r="G23" s="11">
        <f t="shared" si="1"/>
        <v>0</v>
      </c>
      <c r="H23" s="17" t="s">
        <v>16</v>
      </c>
      <c r="I23" s="10">
        <v>0</v>
      </c>
      <c r="J23" s="10">
        <f t="shared" si="2"/>
        <v>25.67066666666667</v>
      </c>
      <c r="K23" s="10">
        <v>0</v>
      </c>
      <c r="L23" s="12">
        <f t="shared" si="3"/>
        <v>0</v>
      </c>
    </row>
    <row r="24" spans="2:12" ht="15.75">
      <c r="B24" s="26">
        <v>44927</v>
      </c>
      <c r="C24" s="17" t="s">
        <v>19</v>
      </c>
      <c r="D24" s="10">
        <f>D13</f>
        <v>8.707</v>
      </c>
      <c r="E24" s="11">
        <f t="shared" si="0"/>
        <v>26.121000000000002</v>
      </c>
      <c r="F24" s="11">
        <v>0</v>
      </c>
      <c r="G24" s="11">
        <f t="shared" si="1"/>
        <v>0</v>
      </c>
      <c r="H24" s="17" t="s">
        <v>19</v>
      </c>
      <c r="I24" s="10">
        <f>D14</f>
        <v>8.707</v>
      </c>
      <c r="J24" s="10">
        <f t="shared" si="2"/>
        <v>34.37766666666667</v>
      </c>
      <c r="K24" s="10">
        <v>0</v>
      </c>
      <c r="L24" s="12">
        <f t="shared" si="3"/>
        <v>0</v>
      </c>
    </row>
    <row r="25" spans="2:12" ht="15.75">
      <c r="B25" s="26">
        <v>44927</v>
      </c>
      <c r="C25" s="18" t="s">
        <v>30</v>
      </c>
      <c r="D25" s="10">
        <v>0</v>
      </c>
      <c r="E25" s="11">
        <f t="shared" si="0"/>
        <v>26.121000000000002</v>
      </c>
      <c r="F25" s="11">
        <v>0</v>
      </c>
      <c r="G25" s="11">
        <f t="shared" si="1"/>
        <v>0</v>
      </c>
      <c r="H25" s="17" t="s">
        <v>34</v>
      </c>
      <c r="I25" s="10">
        <f>MIN((3*D14),(D3/2))-I22</f>
        <v>16.513333333333335</v>
      </c>
      <c r="J25" s="10">
        <f t="shared" si="2"/>
        <v>50.891000000000005</v>
      </c>
      <c r="K25" s="10">
        <v>0</v>
      </c>
      <c r="L25" s="12">
        <f t="shared" si="3"/>
        <v>0</v>
      </c>
    </row>
    <row r="26" spans="2:12" ht="15.75">
      <c r="B26" s="26">
        <v>44958</v>
      </c>
      <c r="C26" s="17" t="s">
        <v>18</v>
      </c>
      <c r="D26" s="10">
        <v>0</v>
      </c>
      <c r="E26" s="11">
        <f t="shared" si="0"/>
        <v>26.121000000000002</v>
      </c>
      <c r="F26" s="11">
        <v>0</v>
      </c>
      <c r="G26" s="11">
        <f t="shared" si="1"/>
        <v>0</v>
      </c>
      <c r="H26" s="17" t="s">
        <v>18</v>
      </c>
      <c r="I26" s="10">
        <v>0</v>
      </c>
      <c r="J26" s="10">
        <f t="shared" si="2"/>
        <v>50.891000000000005</v>
      </c>
      <c r="K26" s="10">
        <v>0</v>
      </c>
      <c r="L26" s="12">
        <f t="shared" si="3"/>
        <v>0</v>
      </c>
    </row>
    <row r="27" spans="2:12" ht="15.75">
      <c r="B27" s="26">
        <v>45292</v>
      </c>
      <c r="C27" s="18" t="s">
        <v>30</v>
      </c>
      <c r="D27" s="10">
        <v>0</v>
      </c>
      <c r="E27" s="11">
        <f t="shared" si="0"/>
        <v>26.121000000000002</v>
      </c>
      <c r="F27" s="11">
        <v>0</v>
      </c>
      <c r="G27" s="11">
        <f t="shared" si="1"/>
        <v>0</v>
      </c>
      <c r="H27" s="17" t="s">
        <v>21</v>
      </c>
      <c r="I27" s="10">
        <f>D14</f>
        <v>8.707</v>
      </c>
      <c r="J27" s="10">
        <f t="shared" si="2"/>
        <v>59.598000000000006</v>
      </c>
      <c r="K27" s="10">
        <v>0</v>
      </c>
      <c r="L27" s="12">
        <f t="shared" si="3"/>
        <v>0</v>
      </c>
    </row>
    <row r="28" spans="2:12" ht="15.75">
      <c r="B28" s="26">
        <v>45292</v>
      </c>
      <c r="C28" s="18" t="s">
        <v>30</v>
      </c>
      <c r="D28" s="10">
        <v>0</v>
      </c>
      <c r="E28" s="11">
        <f t="shared" si="0"/>
        <v>26.121000000000002</v>
      </c>
      <c r="F28" s="11">
        <v>0</v>
      </c>
      <c r="G28" s="11">
        <f t="shared" si="1"/>
        <v>0</v>
      </c>
      <c r="H28" s="17" t="s">
        <v>35</v>
      </c>
      <c r="I28" s="10">
        <f>MIN((6*D14),(D3))-I25-I22</f>
        <v>24.769999999999996</v>
      </c>
      <c r="J28" s="10">
        <f t="shared" si="2"/>
        <v>84.368</v>
      </c>
      <c r="K28" s="10">
        <v>0</v>
      </c>
      <c r="L28" s="12">
        <f t="shared" si="3"/>
        <v>0</v>
      </c>
    </row>
    <row r="29" spans="2:12" ht="15.75">
      <c r="B29" s="26">
        <v>45323</v>
      </c>
      <c r="C29" s="17" t="s">
        <v>20</v>
      </c>
      <c r="D29" s="10">
        <v>0</v>
      </c>
      <c r="E29" s="11">
        <f t="shared" si="0"/>
        <v>26.121000000000002</v>
      </c>
      <c r="F29" s="11">
        <v>0</v>
      </c>
      <c r="G29" s="11">
        <f t="shared" si="1"/>
        <v>0</v>
      </c>
      <c r="H29" s="17" t="s">
        <v>20</v>
      </c>
      <c r="I29" s="10">
        <v>0</v>
      </c>
      <c r="J29" s="10">
        <f t="shared" si="2"/>
        <v>84.368</v>
      </c>
      <c r="K29" s="10">
        <v>0</v>
      </c>
      <c r="L29" s="12">
        <f t="shared" si="3"/>
        <v>0</v>
      </c>
    </row>
    <row r="30" spans="2:12" ht="15.75">
      <c r="B30" s="26">
        <v>45352</v>
      </c>
      <c r="C30" s="18" t="s">
        <v>30</v>
      </c>
      <c r="D30" s="10">
        <v>0</v>
      </c>
      <c r="E30" s="11">
        <f t="shared" si="0"/>
        <v>26.121000000000002</v>
      </c>
      <c r="F30" s="11">
        <v>0</v>
      </c>
      <c r="G30" s="11">
        <f t="shared" si="1"/>
        <v>0</v>
      </c>
      <c r="H30" s="17" t="s">
        <v>36</v>
      </c>
      <c r="I30" s="10">
        <v>0</v>
      </c>
      <c r="J30" s="10">
        <f t="shared" si="2"/>
        <v>84.368</v>
      </c>
      <c r="K30" s="10">
        <v>0</v>
      </c>
      <c r="L30" s="12">
        <f t="shared" si="3"/>
        <v>0</v>
      </c>
    </row>
    <row r="31" spans="2:12" ht="15.75">
      <c r="B31" s="26">
        <v>45413</v>
      </c>
      <c r="C31" s="18" t="s">
        <v>30</v>
      </c>
      <c r="D31" s="10">
        <v>0</v>
      </c>
      <c r="E31" s="11">
        <f t="shared" si="0"/>
        <v>26.121000000000002</v>
      </c>
      <c r="F31" s="11">
        <v>0</v>
      </c>
      <c r="G31" s="11">
        <f t="shared" si="1"/>
        <v>0</v>
      </c>
      <c r="H31" s="17" t="s">
        <v>37</v>
      </c>
      <c r="I31" s="10">
        <f>-I22-I25-I28-I27</f>
        <v>-58.247</v>
      </c>
      <c r="J31" s="10">
        <f t="shared" si="2"/>
        <v>26.120999999999995</v>
      </c>
      <c r="K31" s="10">
        <v>0</v>
      </c>
      <c r="L31" s="12">
        <f t="shared" si="3"/>
        <v>0</v>
      </c>
    </row>
    <row r="32" spans="2:12" ht="15.75">
      <c r="B32" s="26">
        <v>45444</v>
      </c>
      <c r="C32" s="17" t="s">
        <v>23</v>
      </c>
      <c r="D32" s="10">
        <v>0</v>
      </c>
      <c r="E32" s="11">
        <f t="shared" si="0"/>
        <v>26.121000000000002</v>
      </c>
      <c r="F32" s="11">
        <v>0</v>
      </c>
      <c r="G32" s="11">
        <f t="shared" si="1"/>
        <v>0</v>
      </c>
      <c r="H32" s="17" t="s">
        <v>23</v>
      </c>
      <c r="I32" s="10">
        <v>0</v>
      </c>
      <c r="J32" s="10">
        <f t="shared" si="2"/>
        <v>26.120999999999995</v>
      </c>
      <c r="K32" s="10">
        <v>0</v>
      </c>
      <c r="L32" s="12">
        <f t="shared" si="3"/>
        <v>0</v>
      </c>
    </row>
    <row r="33" spans="2:12" ht="15.75">
      <c r="B33" s="26">
        <v>45474</v>
      </c>
      <c r="C33" s="17" t="s">
        <v>24</v>
      </c>
      <c r="D33" s="10">
        <f>D13</f>
        <v>8.707</v>
      </c>
      <c r="E33" s="11">
        <f t="shared" si="0"/>
        <v>34.828</v>
      </c>
      <c r="F33" s="11">
        <v>0</v>
      </c>
      <c r="G33" s="11">
        <f t="shared" si="1"/>
        <v>0</v>
      </c>
      <c r="H33" s="18" t="s">
        <v>30</v>
      </c>
      <c r="I33" s="10">
        <v>0</v>
      </c>
      <c r="J33" s="10">
        <f t="shared" si="2"/>
        <v>26.120999999999995</v>
      </c>
      <c r="K33" s="10">
        <v>0</v>
      </c>
      <c r="L33" s="12">
        <f t="shared" si="3"/>
        <v>0</v>
      </c>
    </row>
    <row r="34" spans="2:12" ht="15.75">
      <c r="B34" s="26">
        <v>45536</v>
      </c>
      <c r="C34" s="18" t="s">
        <v>30</v>
      </c>
      <c r="D34" s="10">
        <v>0</v>
      </c>
      <c r="E34" s="11">
        <f t="shared" si="0"/>
        <v>34.828</v>
      </c>
      <c r="F34" s="11">
        <v>0</v>
      </c>
      <c r="G34" s="11">
        <f t="shared" si="1"/>
        <v>0</v>
      </c>
      <c r="H34" s="17" t="s">
        <v>24</v>
      </c>
      <c r="I34" s="10">
        <f>D4</f>
        <v>7.430999999999999</v>
      </c>
      <c r="J34" s="10">
        <f t="shared" si="2"/>
        <v>33.55199999999999</v>
      </c>
      <c r="K34" s="10">
        <v>0</v>
      </c>
      <c r="L34" s="12">
        <f t="shared" si="3"/>
        <v>0</v>
      </c>
    </row>
    <row r="35" spans="2:12" ht="15.75">
      <c r="B35" s="26">
        <v>45627</v>
      </c>
      <c r="C35" s="18" t="s">
        <v>30</v>
      </c>
      <c r="D35" s="10">
        <v>0</v>
      </c>
      <c r="E35" s="11">
        <f t="shared" si="0"/>
        <v>34.828</v>
      </c>
      <c r="F35" s="11">
        <v>0</v>
      </c>
      <c r="G35" s="11">
        <f t="shared" si="1"/>
        <v>0</v>
      </c>
      <c r="H35" s="17" t="s">
        <v>42</v>
      </c>
      <c r="I35" s="10">
        <f>K35</f>
        <v>-7.430999999999999</v>
      </c>
      <c r="J35" s="10">
        <f t="shared" si="2"/>
        <v>26.120999999999995</v>
      </c>
      <c r="K35" s="10">
        <f>-I34</f>
        <v>-7.430999999999999</v>
      </c>
      <c r="L35" s="12">
        <f t="shared" si="3"/>
        <v>-7.430999999999999</v>
      </c>
    </row>
    <row r="36" spans="2:12" ht="15.75">
      <c r="B36" s="26">
        <v>45627</v>
      </c>
      <c r="C36" s="18" t="s">
        <v>30</v>
      </c>
      <c r="D36" s="10">
        <v>0</v>
      </c>
      <c r="E36" s="11">
        <f t="shared" si="0"/>
        <v>34.828</v>
      </c>
      <c r="F36" s="11">
        <v>0</v>
      </c>
      <c r="G36" s="11">
        <f t="shared" si="1"/>
        <v>0</v>
      </c>
      <c r="H36" s="17" t="s">
        <v>26</v>
      </c>
      <c r="I36" s="10">
        <f>D5</f>
        <v>12.385</v>
      </c>
      <c r="J36" s="10">
        <f t="shared" si="2"/>
        <v>38.50599999999999</v>
      </c>
      <c r="K36" s="10">
        <v>0</v>
      </c>
      <c r="L36" s="12">
        <f t="shared" si="3"/>
        <v>-7.430999999999999</v>
      </c>
    </row>
    <row r="37" spans="2:12" ht="15.75">
      <c r="B37" s="26">
        <v>45627</v>
      </c>
      <c r="C37" s="17" t="s">
        <v>25</v>
      </c>
      <c r="D37" s="10">
        <v>0</v>
      </c>
      <c r="E37" s="11">
        <f>D37+E33</f>
        <v>34.828</v>
      </c>
      <c r="F37" s="11">
        <v>0</v>
      </c>
      <c r="G37" s="11">
        <f t="shared" si="1"/>
        <v>0</v>
      </c>
      <c r="H37" s="17" t="s">
        <v>25</v>
      </c>
      <c r="I37" s="10">
        <v>0</v>
      </c>
      <c r="J37" s="10">
        <f t="shared" si="2"/>
        <v>38.50599999999999</v>
      </c>
      <c r="K37" s="10">
        <v>0</v>
      </c>
      <c r="L37" s="12">
        <f t="shared" si="3"/>
        <v>-7.430999999999999</v>
      </c>
    </row>
    <row r="38" spans="2:12" ht="15.75">
      <c r="B38" s="26">
        <v>45658</v>
      </c>
      <c r="C38" s="17" t="s">
        <v>26</v>
      </c>
      <c r="D38" s="10">
        <f>D13</f>
        <v>8.707</v>
      </c>
      <c r="E38" s="11">
        <f t="shared" si="0"/>
        <v>43.535000000000004</v>
      </c>
      <c r="F38" s="11">
        <v>0</v>
      </c>
      <c r="G38" s="11">
        <f t="shared" si="1"/>
        <v>0</v>
      </c>
      <c r="H38" s="18" t="s">
        <v>30</v>
      </c>
      <c r="I38" s="10">
        <v>0</v>
      </c>
      <c r="J38" s="10">
        <f t="shared" si="2"/>
        <v>38.50599999999999</v>
      </c>
      <c r="K38" s="10">
        <v>0</v>
      </c>
      <c r="L38" s="12">
        <f t="shared" si="3"/>
        <v>-7.430999999999999</v>
      </c>
    </row>
    <row r="39" spans="2:12" ht="15.75">
      <c r="B39" s="26">
        <v>45659</v>
      </c>
      <c r="C39" s="17" t="s">
        <v>52</v>
      </c>
      <c r="D39" s="10">
        <v>0</v>
      </c>
      <c r="E39" s="11">
        <f t="shared" si="0"/>
        <v>43.535000000000004</v>
      </c>
      <c r="F39" s="11">
        <v>0</v>
      </c>
      <c r="G39" s="11">
        <f t="shared" si="1"/>
        <v>0</v>
      </c>
      <c r="H39" s="17" t="s">
        <v>52</v>
      </c>
      <c r="I39" s="10">
        <v>0</v>
      </c>
      <c r="J39" s="10">
        <f t="shared" si="2"/>
        <v>38.50599999999999</v>
      </c>
      <c r="K39" s="10">
        <v>0</v>
      </c>
      <c r="L39" s="12">
        <f t="shared" si="3"/>
        <v>-7.430999999999999</v>
      </c>
    </row>
    <row r="40" spans="2:12" ht="15.75">
      <c r="B40" s="26">
        <v>45689</v>
      </c>
      <c r="C40" s="18" t="s">
        <v>30</v>
      </c>
      <c r="D40" s="10">
        <v>0</v>
      </c>
      <c r="E40" s="11">
        <f t="shared" si="0"/>
        <v>43.535000000000004</v>
      </c>
      <c r="F40" s="11">
        <v>0</v>
      </c>
      <c r="G40" s="11">
        <f t="shared" si="1"/>
        <v>0</v>
      </c>
      <c r="H40" s="18" t="s">
        <v>43</v>
      </c>
      <c r="I40" s="10">
        <f>-I36</f>
        <v>-12.385</v>
      </c>
      <c r="J40" s="10">
        <f t="shared" si="2"/>
        <v>26.120999999999995</v>
      </c>
      <c r="K40" s="10">
        <v>0</v>
      </c>
      <c r="L40" s="12">
        <f t="shared" si="3"/>
        <v>-7.430999999999999</v>
      </c>
    </row>
    <row r="41" spans="2:12" ht="15.75">
      <c r="B41" s="26">
        <v>45689</v>
      </c>
      <c r="C41" s="18" t="s">
        <v>22</v>
      </c>
      <c r="D41" s="10">
        <v>0</v>
      </c>
      <c r="E41" s="11">
        <f t="shared" si="0"/>
        <v>43.535000000000004</v>
      </c>
      <c r="F41" s="11">
        <v>0</v>
      </c>
      <c r="G41" s="11">
        <f t="shared" si="1"/>
        <v>0</v>
      </c>
      <c r="H41" s="18" t="s">
        <v>22</v>
      </c>
      <c r="I41" s="10">
        <v>0</v>
      </c>
      <c r="J41" s="10">
        <f t="shared" si="2"/>
        <v>26.120999999999995</v>
      </c>
      <c r="K41" s="11">
        <v>0</v>
      </c>
      <c r="L41" s="12">
        <f t="shared" si="3"/>
        <v>-7.430999999999999</v>
      </c>
    </row>
    <row r="42" spans="2:12" ht="17" thickBot="1">
      <c r="B42" s="27">
        <v>45717</v>
      </c>
      <c r="C42" s="19" t="s">
        <v>53</v>
      </c>
      <c r="D42" s="14">
        <f>-E40</f>
        <v>-43.535000000000004</v>
      </c>
      <c r="E42" s="15">
        <f t="shared" si="0"/>
        <v>0</v>
      </c>
      <c r="F42" s="15">
        <v>0</v>
      </c>
      <c r="G42" s="15">
        <f t="shared" si="1"/>
        <v>0</v>
      </c>
      <c r="H42" s="19" t="s">
        <v>44</v>
      </c>
      <c r="I42" s="14">
        <f>-I18-I19-I21-I24</f>
        <v>-26.121000000000002</v>
      </c>
      <c r="J42" s="14">
        <f t="shared" si="2"/>
        <v>0</v>
      </c>
      <c r="K42" s="14">
        <v>0</v>
      </c>
      <c r="L42" s="16">
        <f t="shared" si="3"/>
        <v>-7.430999999999999</v>
      </c>
    </row>
    <row r="43" spans="2:12" ht="15.75">
      <c r="B43" s="4"/>
      <c r="C43" s="17"/>
      <c r="D43" s="9"/>
      <c r="E43" s="9"/>
      <c r="F43" s="9"/>
      <c r="G43" s="9"/>
      <c r="H43" s="17"/>
      <c r="I43" s="9"/>
      <c r="J43" s="9"/>
      <c r="K43" s="9"/>
      <c r="L43" s="20"/>
    </row>
    <row r="44" spans="3:12" ht="15.75">
      <c r="C44" s="17"/>
      <c r="D44" s="9"/>
      <c r="E44" s="9"/>
      <c r="F44" s="9"/>
      <c r="G44" s="9"/>
      <c r="H44" s="17"/>
      <c r="I44" s="9"/>
      <c r="J44" s="9"/>
      <c r="K44" s="9"/>
      <c r="L44" s="20"/>
    </row>
    <row r="45" spans="3:12" ht="15.75">
      <c r="C45" s="17"/>
      <c r="D45" s="21" t="s">
        <v>50</v>
      </c>
      <c r="E45" s="11">
        <f>MAX(E18:E42)</f>
        <v>43.535000000000004</v>
      </c>
      <c r="F45" s="9"/>
      <c r="G45" s="9"/>
      <c r="H45" s="17"/>
      <c r="I45" s="21" t="s">
        <v>27</v>
      </c>
      <c r="J45" s="11">
        <f>MAX(J18:J42)</f>
        <v>84.368</v>
      </c>
      <c r="K45" s="9"/>
      <c r="L45" s="20"/>
    </row>
    <row r="46" spans="3:12" ht="15.75">
      <c r="C46" s="17"/>
      <c r="D46" s="21" t="s">
        <v>28</v>
      </c>
      <c r="E46" s="22">
        <f>E45/D3</f>
        <v>0.8787848203471943</v>
      </c>
      <c r="F46" s="9"/>
      <c r="G46" s="9"/>
      <c r="H46" s="17"/>
      <c r="I46" s="21" t="s">
        <v>28</v>
      </c>
      <c r="J46" s="22">
        <f>J45/D3</f>
        <v>1.7030278562777552</v>
      </c>
      <c r="K46" s="9"/>
      <c r="L46" s="20"/>
    </row>
    <row r="47" spans="3:12" ht="15.75">
      <c r="C47" s="17"/>
      <c r="D47" s="21" t="s">
        <v>72</v>
      </c>
      <c r="E47" s="11">
        <f>G42</f>
        <v>0</v>
      </c>
      <c r="F47" s="9"/>
      <c r="G47" s="9"/>
      <c r="H47" s="17"/>
      <c r="I47" s="21" t="s">
        <v>72</v>
      </c>
      <c r="J47" s="11">
        <f>-L42</f>
        <v>7.430999999999999</v>
      </c>
      <c r="K47" s="9"/>
      <c r="L47" s="20"/>
    </row>
    <row r="48" spans="3:12" ht="17" thickBot="1">
      <c r="C48" s="19"/>
      <c r="D48" s="23" t="s">
        <v>29</v>
      </c>
      <c r="E48" s="24">
        <f>E47/D3</f>
        <v>0</v>
      </c>
      <c r="F48" s="13"/>
      <c r="G48" s="13"/>
      <c r="H48" s="19"/>
      <c r="I48" s="23" t="s">
        <v>29</v>
      </c>
      <c r="J48" s="24">
        <f>J47/D3</f>
        <v>0.15</v>
      </c>
      <c r="K48" s="13"/>
      <c r="L48" s="25"/>
    </row>
    <row r="49" spans="8:12" ht="15.75">
      <c r="H49" s="9"/>
      <c r="I49" s="9"/>
      <c r="J49" s="9"/>
      <c r="K49" s="9"/>
      <c r="L49" s="9"/>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954EC-3585-C244-B5C6-9F25F6BF8DE7}">
  <dimension ref="A1:L62"/>
  <sheetViews>
    <sheetView workbookViewId="0" topLeftCell="A25">
      <selection activeCell="A2" sqref="A2"/>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79</v>
      </c>
    </row>
    <row r="2" ht="17" thickBot="1"/>
    <row r="3" spans="1:4" ht="17" thickBot="1">
      <c r="A3" s="39" t="s">
        <v>66</v>
      </c>
      <c r="B3" s="40"/>
      <c r="C3" s="40"/>
      <c r="D3" s="41">
        <f>4*Assumptions!C2*Assumptions!C15+8*Assumptions!C4*Assumptions!C15</f>
        <v>49.54</v>
      </c>
    </row>
    <row r="4" spans="1:4" ht="15.75">
      <c r="A4" s="42" t="s">
        <v>67</v>
      </c>
      <c r="B4" s="43"/>
      <c r="C4" s="43"/>
      <c r="D4" s="44">
        <f>Assumptions!C2*Assumptions!C15*3</f>
        <v>7.430999999999999</v>
      </c>
    </row>
    <row r="5" spans="1:4" ht="15.75">
      <c r="A5" s="45" t="s">
        <v>68</v>
      </c>
      <c r="B5" s="38"/>
      <c r="C5" s="38"/>
      <c r="D5" s="46">
        <f>Assumptions!C2*Assumptions!C15*1+Assumptions!C4*Assumptions!C15*2</f>
        <v>12.385</v>
      </c>
    </row>
    <row r="6" spans="1:5" ht="15.75">
      <c r="A6" s="45" t="s">
        <v>69</v>
      </c>
      <c r="B6" s="38"/>
      <c r="C6" s="38"/>
      <c r="D6" s="46">
        <f>Assumptions!C4*Assumptions!C15*3</f>
        <v>14.861999999999998</v>
      </c>
      <c r="E6" s="5"/>
    </row>
    <row r="7" spans="1:5" ht="17" thickBot="1">
      <c r="A7" s="47" t="s">
        <v>70</v>
      </c>
      <c r="B7" s="48"/>
      <c r="C7" s="48"/>
      <c r="D7" s="49">
        <f>Assumptions!C4*Assumptions!C15*3</f>
        <v>14.861999999999998</v>
      </c>
      <c r="E7" s="5"/>
    </row>
    <row r="8" spans="1:5" ht="15.75">
      <c r="A8" s="42" t="s">
        <v>38</v>
      </c>
      <c r="B8" s="43"/>
      <c r="C8" s="43"/>
      <c r="D8" s="44">
        <f>Assumptions!C2*Assumptions!C21*3</f>
        <v>7.593</v>
      </c>
      <c r="E8" s="5"/>
    </row>
    <row r="9" spans="1:5" ht="15.75">
      <c r="A9" s="45" t="s">
        <v>39</v>
      </c>
      <c r="B9" s="38"/>
      <c r="C9" s="38"/>
      <c r="D9" s="46">
        <f>Assumptions!C2*Assumptions!C21*1+Assumptions!C4*Assumptions!C21*2</f>
        <v>12.655000000000001</v>
      </c>
      <c r="E9" s="5"/>
    </row>
    <row r="10" spans="1:5" ht="15.75">
      <c r="A10" s="45" t="s">
        <v>40</v>
      </c>
      <c r="B10" s="38"/>
      <c r="C10" s="38"/>
      <c r="D10" s="46">
        <f>Assumptions!C4*Assumptions!C21*3</f>
        <v>15.186</v>
      </c>
      <c r="E10" s="5"/>
    </row>
    <row r="11" spans="1:5" ht="17" thickBot="1">
      <c r="A11" s="47" t="s">
        <v>41</v>
      </c>
      <c r="B11" s="48"/>
      <c r="C11" s="48"/>
      <c r="D11" s="49">
        <f>Assumptions!C4*Assumptions!C21*3</f>
        <v>15.186</v>
      </c>
      <c r="E11" s="5"/>
    </row>
    <row r="12" ht="15.75">
      <c r="D12" s="5"/>
    </row>
    <row r="13" spans="1:4" ht="15.75">
      <c r="A13" t="s">
        <v>32</v>
      </c>
      <c r="D13" s="5">
        <f>Assumptions!C14</f>
        <v>8.707</v>
      </c>
    </row>
    <row r="14" spans="1:4" ht="15.75">
      <c r="A14" t="s">
        <v>31</v>
      </c>
      <c r="D14" s="5">
        <f>MIN(D13,(D3/3))</f>
        <v>8.707</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6.707000000000001</v>
      </c>
      <c r="J19" s="10">
        <f>J18+I19</f>
        <v>8.707</v>
      </c>
      <c r="K19" s="10">
        <v>0</v>
      </c>
      <c r="L19" s="12">
        <f>K19+L18</f>
        <v>0</v>
      </c>
    </row>
    <row r="20" spans="2:12" ht="15.75">
      <c r="B20" s="26">
        <v>44228</v>
      </c>
      <c r="C20" s="17" t="s">
        <v>75</v>
      </c>
      <c r="D20" s="10">
        <v>0</v>
      </c>
      <c r="E20" s="11">
        <f aca="true" t="shared" si="0" ref="E20:E55">D20+E19</f>
        <v>8.707</v>
      </c>
      <c r="F20" s="11">
        <v>0</v>
      </c>
      <c r="G20" s="33">
        <f aca="true" t="shared" si="1" ref="G20:G55">F20+G19</f>
        <v>0</v>
      </c>
      <c r="H20" s="17" t="s">
        <v>75</v>
      </c>
      <c r="I20" s="10">
        <v>0</v>
      </c>
      <c r="J20" s="10">
        <f aca="true" t="shared" si="2" ref="J20:J55">J19+I20</f>
        <v>8.707</v>
      </c>
      <c r="K20" s="10">
        <v>0</v>
      </c>
      <c r="L20" s="12">
        <f aca="true" t="shared" si="3" ref="L20:L55">K20+L19</f>
        <v>0</v>
      </c>
    </row>
    <row r="21" spans="2:12" ht="15.75">
      <c r="B21" s="26">
        <v>44562</v>
      </c>
      <c r="C21" s="17" t="s">
        <v>17</v>
      </c>
      <c r="D21" s="10">
        <f>D13</f>
        <v>8.707</v>
      </c>
      <c r="E21" s="11">
        <f t="shared" si="0"/>
        <v>17.414</v>
      </c>
      <c r="F21" s="11">
        <v>0</v>
      </c>
      <c r="G21" s="33">
        <f t="shared" si="1"/>
        <v>0</v>
      </c>
      <c r="H21" s="17" t="s">
        <v>17</v>
      </c>
      <c r="I21" s="10">
        <f>D14</f>
        <v>8.707</v>
      </c>
      <c r="J21" s="10">
        <f t="shared" si="2"/>
        <v>17.414</v>
      </c>
      <c r="K21" s="10">
        <v>0</v>
      </c>
      <c r="L21" s="12">
        <f t="shared" si="3"/>
        <v>0</v>
      </c>
    </row>
    <row r="22" spans="2:12" ht="15.75">
      <c r="B22" s="26">
        <v>44562</v>
      </c>
      <c r="C22" s="18" t="s">
        <v>30</v>
      </c>
      <c r="D22" s="10">
        <v>0</v>
      </c>
      <c r="E22" s="11">
        <f t="shared" si="0"/>
        <v>17.414</v>
      </c>
      <c r="F22" s="11">
        <v>0</v>
      </c>
      <c r="G22" s="33">
        <f t="shared" si="1"/>
        <v>0</v>
      </c>
      <c r="H22" s="17" t="s">
        <v>33</v>
      </c>
      <c r="I22" s="10">
        <f>MIN((1*D14),(D3/6))</f>
        <v>8.256666666666666</v>
      </c>
      <c r="J22" s="10">
        <f t="shared" si="2"/>
        <v>25.67066666666667</v>
      </c>
      <c r="K22" s="10">
        <v>0</v>
      </c>
      <c r="L22" s="12">
        <f t="shared" si="3"/>
        <v>0</v>
      </c>
    </row>
    <row r="23" spans="2:12" ht="15.75">
      <c r="B23" s="26">
        <v>44593</v>
      </c>
      <c r="C23" s="17" t="s">
        <v>16</v>
      </c>
      <c r="D23" s="10">
        <v>0</v>
      </c>
      <c r="E23" s="11">
        <f t="shared" si="0"/>
        <v>17.414</v>
      </c>
      <c r="F23" s="11">
        <v>0</v>
      </c>
      <c r="G23" s="33">
        <f t="shared" si="1"/>
        <v>0</v>
      </c>
      <c r="H23" s="17" t="s">
        <v>16</v>
      </c>
      <c r="I23" s="10">
        <v>0</v>
      </c>
      <c r="J23" s="10">
        <f t="shared" si="2"/>
        <v>25.67066666666667</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8.707</v>
      </c>
      <c r="J24" s="10">
        <f t="shared" si="2"/>
        <v>34.37766666666667</v>
      </c>
      <c r="K24" s="10">
        <v>0</v>
      </c>
      <c r="L24" s="12">
        <f t="shared" si="3"/>
        <v>0</v>
      </c>
    </row>
    <row r="25" spans="2:12" ht="15.75">
      <c r="B25" s="26">
        <v>44927</v>
      </c>
      <c r="C25" s="18" t="s">
        <v>30</v>
      </c>
      <c r="D25" s="10">
        <v>0</v>
      </c>
      <c r="E25" s="11">
        <f t="shared" si="0"/>
        <v>26.121000000000002</v>
      </c>
      <c r="F25" s="11">
        <v>0</v>
      </c>
      <c r="G25" s="33">
        <f t="shared" si="1"/>
        <v>0</v>
      </c>
      <c r="H25" s="17" t="s">
        <v>34</v>
      </c>
      <c r="I25" s="10">
        <f>MIN((3*D14),(D3/2))-I22</f>
        <v>16.513333333333335</v>
      </c>
      <c r="J25" s="10">
        <f t="shared" si="2"/>
        <v>50.891000000000005</v>
      </c>
      <c r="K25" s="10">
        <v>0</v>
      </c>
      <c r="L25" s="12">
        <f t="shared" si="3"/>
        <v>0</v>
      </c>
    </row>
    <row r="26" spans="2:12" ht="15.75">
      <c r="B26" s="26">
        <v>44958</v>
      </c>
      <c r="C26" s="17" t="s">
        <v>18</v>
      </c>
      <c r="D26" s="10">
        <v>0</v>
      </c>
      <c r="E26" s="11">
        <f t="shared" si="0"/>
        <v>26.121000000000002</v>
      </c>
      <c r="F26" s="11">
        <v>0</v>
      </c>
      <c r="G26" s="33">
        <f t="shared" si="1"/>
        <v>0</v>
      </c>
      <c r="H26" s="17" t="s">
        <v>18</v>
      </c>
      <c r="I26" s="10">
        <v>0</v>
      </c>
      <c r="J26" s="10">
        <f t="shared" si="2"/>
        <v>50.891000000000005</v>
      </c>
      <c r="K26" s="10">
        <v>0</v>
      </c>
      <c r="L26" s="12">
        <f t="shared" si="3"/>
        <v>0</v>
      </c>
    </row>
    <row r="27" spans="2:12" ht="15.75">
      <c r="B27" s="26">
        <v>45292</v>
      </c>
      <c r="C27" s="18" t="s">
        <v>30</v>
      </c>
      <c r="D27" s="10">
        <v>0</v>
      </c>
      <c r="E27" s="11">
        <f t="shared" si="0"/>
        <v>26.121000000000002</v>
      </c>
      <c r="F27" s="11">
        <v>0</v>
      </c>
      <c r="G27" s="33">
        <f t="shared" si="1"/>
        <v>0</v>
      </c>
      <c r="H27" s="17" t="s">
        <v>21</v>
      </c>
      <c r="I27" s="10">
        <f>D14</f>
        <v>8.707</v>
      </c>
      <c r="J27" s="10">
        <f t="shared" si="2"/>
        <v>59.598000000000006</v>
      </c>
      <c r="K27" s="10">
        <v>0</v>
      </c>
      <c r="L27" s="12">
        <f t="shared" si="3"/>
        <v>0</v>
      </c>
    </row>
    <row r="28" spans="2:12" ht="15.75">
      <c r="B28" s="26">
        <v>45292</v>
      </c>
      <c r="C28" s="18" t="s">
        <v>30</v>
      </c>
      <c r="D28" s="10">
        <v>0</v>
      </c>
      <c r="E28" s="11">
        <f t="shared" si="0"/>
        <v>26.121000000000002</v>
      </c>
      <c r="F28" s="11">
        <v>0</v>
      </c>
      <c r="G28" s="33">
        <f t="shared" si="1"/>
        <v>0</v>
      </c>
      <c r="H28" s="17" t="s">
        <v>35</v>
      </c>
      <c r="I28" s="10">
        <f>MIN((6*D14),(D3))-I25-I22</f>
        <v>24.769999999999996</v>
      </c>
      <c r="J28" s="10">
        <f t="shared" si="2"/>
        <v>84.368</v>
      </c>
      <c r="K28" s="10">
        <v>0</v>
      </c>
      <c r="L28" s="12">
        <f t="shared" si="3"/>
        <v>0</v>
      </c>
    </row>
    <row r="29" spans="2:12" ht="15.75">
      <c r="B29" s="26">
        <v>45323</v>
      </c>
      <c r="C29" s="17" t="s">
        <v>20</v>
      </c>
      <c r="D29" s="10">
        <v>0</v>
      </c>
      <c r="E29" s="11">
        <f t="shared" si="0"/>
        <v>26.121000000000002</v>
      </c>
      <c r="F29" s="11">
        <v>0</v>
      </c>
      <c r="G29" s="33">
        <f t="shared" si="1"/>
        <v>0</v>
      </c>
      <c r="H29" s="17" t="s">
        <v>20</v>
      </c>
      <c r="I29" s="10">
        <v>0</v>
      </c>
      <c r="J29" s="10">
        <f t="shared" si="2"/>
        <v>84.368</v>
      </c>
      <c r="K29" s="10">
        <v>0</v>
      </c>
      <c r="L29" s="12">
        <f t="shared" si="3"/>
        <v>0</v>
      </c>
    </row>
    <row r="30" spans="2:12" ht="15.75">
      <c r="B30" s="26">
        <v>45444</v>
      </c>
      <c r="C30" s="17" t="s">
        <v>23</v>
      </c>
      <c r="D30" s="10">
        <v>0</v>
      </c>
      <c r="E30" s="11">
        <f t="shared" si="0"/>
        <v>26.121000000000002</v>
      </c>
      <c r="F30" s="11">
        <v>0</v>
      </c>
      <c r="G30" s="33">
        <f t="shared" si="1"/>
        <v>0</v>
      </c>
      <c r="H30" s="17" t="s">
        <v>23</v>
      </c>
      <c r="I30" s="10">
        <v>0</v>
      </c>
      <c r="J30" s="10">
        <f t="shared" si="2"/>
        <v>84.368</v>
      </c>
      <c r="K30" s="10">
        <v>0</v>
      </c>
      <c r="L30" s="12">
        <f t="shared" si="3"/>
        <v>0</v>
      </c>
    </row>
    <row r="31" spans="2:12" ht="15.75">
      <c r="B31" s="26">
        <v>45474</v>
      </c>
      <c r="C31" s="17" t="s">
        <v>24</v>
      </c>
      <c r="D31" s="10">
        <f>D13</f>
        <v>8.707</v>
      </c>
      <c r="E31" s="11">
        <f t="shared" si="0"/>
        <v>34.828</v>
      </c>
      <c r="F31" s="11">
        <v>0</v>
      </c>
      <c r="G31" s="33">
        <f t="shared" si="1"/>
        <v>0</v>
      </c>
      <c r="H31" s="18" t="s">
        <v>30</v>
      </c>
      <c r="I31" s="10">
        <v>0</v>
      </c>
      <c r="J31" s="10">
        <f t="shared" si="2"/>
        <v>84.368</v>
      </c>
      <c r="K31" s="10">
        <v>0</v>
      </c>
      <c r="L31" s="12">
        <f t="shared" si="3"/>
        <v>0</v>
      </c>
    </row>
    <row r="32" spans="2:12" ht="15.75">
      <c r="B32" s="26">
        <v>45536</v>
      </c>
      <c r="C32" s="18" t="s">
        <v>30</v>
      </c>
      <c r="D32" s="10">
        <v>0</v>
      </c>
      <c r="E32" s="11">
        <f t="shared" si="0"/>
        <v>34.828</v>
      </c>
      <c r="F32" s="11">
        <v>0</v>
      </c>
      <c r="G32" s="33">
        <f t="shared" si="1"/>
        <v>0</v>
      </c>
      <c r="H32" s="17" t="s">
        <v>24</v>
      </c>
      <c r="I32" s="10">
        <f>D4</f>
        <v>7.430999999999999</v>
      </c>
      <c r="J32" s="10">
        <f t="shared" si="2"/>
        <v>91.79899999999999</v>
      </c>
      <c r="K32" s="10">
        <v>0</v>
      </c>
      <c r="L32" s="12">
        <f t="shared" si="3"/>
        <v>0</v>
      </c>
    </row>
    <row r="33" spans="2:12" ht="15.75">
      <c r="B33" s="26">
        <v>45627</v>
      </c>
      <c r="C33" s="18" t="s">
        <v>30</v>
      </c>
      <c r="D33" s="10">
        <v>0</v>
      </c>
      <c r="E33" s="11">
        <f t="shared" si="0"/>
        <v>34.828</v>
      </c>
      <c r="F33" s="11">
        <v>0</v>
      </c>
      <c r="G33" s="33">
        <f t="shared" si="1"/>
        <v>0</v>
      </c>
      <c r="H33" s="17" t="s">
        <v>42</v>
      </c>
      <c r="I33" s="10">
        <f>K33</f>
        <v>-7.430999999999999</v>
      </c>
      <c r="J33" s="10">
        <f t="shared" si="2"/>
        <v>84.368</v>
      </c>
      <c r="K33" s="10">
        <f>-I32</f>
        <v>-7.430999999999999</v>
      </c>
      <c r="L33" s="12">
        <f t="shared" si="3"/>
        <v>-7.430999999999999</v>
      </c>
    </row>
    <row r="34" spans="2:12" ht="15.75">
      <c r="B34" s="26">
        <v>45627</v>
      </c>
      <c r="C34" s="18" t="s">
        <v>30</v>
      </c>
      <c r="D34" s="10">
        <v>0</v>
      </c>
      <c r="E34" s="11">
        <f t="shared" si="0"/>
        <v>34.828</v>
      </c>
      <c r="F34" s="11">
        <v>0</v>
      </c>
      <c r="G34" s="33">
        <f t="shared" si="1"/>
        <v>0</v>
      </c>
      <c r="H34" s="17" t="s">
        <v>26</v>
      </c>
      <c r="I34" s="10">
        <f>D5</f>
        <v>12.385</v>
      </c>
      <c r="J34" s="10">
        <f t="shared" si="2"/>
        <v>96.753</v>
      </c>
      <c r="K34" s="10">
        <v>0</v>
      </c>
      <c r="L34" s="12">
        <f t="shared" si="3"/>
        <v>-7.430999999999999</v>
      </c>
    </row>
    <row r="35" spans="2:12" ht="15.75">
      <c r="B35" s="26">
        <v>45658</v>
      </c>
      <c r="C35" s="18" t="s">
        <v>26</v>
      </c>
      <c r="D35" s="10">
        <f>D13</f>
        <v>8.707</v>
      </c>
      <c r="E35" s="11">
        <f t="shared" si="0"/>
        <v>43.535000000000004</v>
      </c>
      <c r="F35" s="11">
        <v>0</v>
      </c>
      <c r="G35" s="33">
        <f t="shared" si="1"/>
        <v>0</v>
      </c>
      <c r="H35" s="18" t="s">
        <v>30</v>
      </c>
      <c r="I35" s="10">
        <v>0</v>
      </c>
      <c r="J35" s="10">
        <f t="shared" si="2"/>
        <v>96.753</v>
      </c>
      <c r="K35" s="10">
        <v>0</v>
      </c>
      <c r="L35" s="12">
        <f t="shared" si="3"/>
        <v>-7.430999999999999</v>
      </c>
    </row>
    <row r="36" spans="2:12" ht="15.75">
      <c r="B36" s="26">
        <v>45689</v>
      </c>
      <c r="C36" s="18" t="s">
        <v>22</v>
      </c>
      <c r="D36" s="10">
        <v>0</v>
      </c>
      <c r="E36" s="11">
        <f t="shared" si="0"/>
        <v>43.535000000000004</v>
      </c>
      <c r="F36" s="11">
        <v>0</v>
      </c>
      <c r="G36" s="33">
        <f t="shared" si="1"/>
        <v>0</v>
      </c>
      <c r="H36" s="18" t="s">
        <v>22</v>
      </c>
      <c r="I36" s="10">
        <v>0</v>
      </c>
      <c r="J36" s="10">
        <f t="shared" si="2"/>
        <v>96.753</v>
      </c>
      <c r="K36" s="11">
        <v>0</v>
      </c>
      <c r="L36" s="12">
        <f t="shared" si="3"/>
        <v>-7.430999999999999</v>
      </c>
    </row>
    <row r="37" spans="2:12" ht="15.75">
      <c r="B37" s="26">
        <v>45717</v>
      </c>
      <c r="C37" s="18" t="s">
        <v>30</v>
      </c>
      <c r="D37" s="10">
        <v>0</v>
      </c>
      <c r="E37" s="11">
        <f t="shared" si="0"/>
        <v>43.535000000000004</v>
      </c>
      <c r="F37" s="11">
        <v>0</v>
      </c>
      <c r="G37" s="33">
        <f t="shared" si="1"/>
        <v>0</v>
      </c>
      <c r="H37" s="17" t="s">
        <v>57</v>
      </c>
      <c r="I37" s="10">
        <f>K37</f>
        <v>-12.385</v>
      </c>
      <c r="J37" s="10">
        <f t="shared" si="2"/>
        <v>84.368</v>
      </c>
      <c r="K37" s="10">
        <f>-I34</f>
        <v>-12.385</v>
      </c>
      <c r="L37" s="12">
        <f t="shared" si="3"/>
        <v>-19.816</v>
      </c>
    </row>
    <row r="38" spans="2:12" ht="15.75">
      <c r="B38" s="26">
        <v>45717</v>
      </c>
      <c r="C38" s="18" t="s">
        <v>30</v>
      </c>
      <c r="D38" s="10">
        <v>0</v>
      </c>
      <c r="E38" s="11">
        <f t="shared" si="0"/>
        <v>43.535000000000004</v>
      </c>
      <c r="F38" s="11">
        <v>0</v>
      </c>
      <c r="G38" s="33">
        <f t="shared" si="1"/>
        <v>0</v>
      </c>
      <c r="H38" s="17" t="s">
        <v>55</v>
      </c>
      <c r="I38" s="10">
        <f>D6</f>
        <v>14.861999999999998</v>
      </c>
      <c r="J38" s="10">
        <f t="shared" si="2"/>
        <v>99.22999999999999</v>
      </c>
      <c r="K38" s="10">
        <v>0</v>
      </c>
      <c r="L38" s="12">
        <f t="shared" si="3"/>
        <v>-19.816</v>
      </c>
    </row>
    <row r="39" spans="2:12" ht="15.75">
      <c r="B39" s="26">
        <v>45778</v>
      </c>
      <c r="C39" s="18" t="s">
        <v>30</v>
      </c>
      <c r="D39" s="10">
        <v>0</v>
      </c>
      <c r="E39" s="11">
        <f t="shared" si="0"/>
        <v>43.535000000000004</v>
      </c>
      <c r="F39" s="11">
        <v>0</v>
      </c>
      <c r="G39" s="33">
        <f t="shared" si="1"/>
        <v>0</v>
      </c>
      <c r="H39" s="17" t="s">
        <v>58</v>
      </c>
      <c r="I39" s="10">
        <f>K39</f>
        <v>-14.861999999999998</v>
      </c>
      <c r="J39" s="10">
        <f t="shared" si="2"/>
        <v>84.368</v>
      </c>
      <c r="K39" s="10">
        <f>-I38</f>
        <v>-14.861999999999998</v>
      </c>
      <c r="L39" s="12">
        <f t="shared" si="3"/>
        <v>-34.678</v>
      </c>
    </row>
    <row r="40" spans="2:12" ht="15.75">
      <c r="B40" s="26">
        <v>45809</v>
      </c>
      <c r="C40" s="18" t="s">
        <v>30</v>
      </c>
      <c r="D40" s="10">
        <v>0</v>
      </c>
      <c r="E40" s="11">
        <f t="shared" si="0"/>
        <v>43.535000000000004</v>
      </c>
      <c r="F40" s="11">
        <v>0</v>
      </c>
      <c r="G40" s="33">
        <f t="shared" si="1"/>
        <v>0</v>
      </c>
      <c r="H40" s="17" t="s">
        <v>56</v>
      </c>
      <c r="I40" s="10">
        <f>D7</f>
        <v>14.861999999999998</v>
      </c>
      <c r="J40" s="10">
        <f t="shared" si="2"/>
        <v>99.22999999999999</v>
      </c>
      <c r="K40" s="10">
        <v>0</v>
      </c>
      <c r="L40" s="12">
        <f t="shared" si="3"/>
        <v>-34.678</v>
      </c>
    </row>
    <row r="41" spans="2:12" ht="15.75">
      <c r="B41" s="26">
        <v>45839</v>
      </c>
      <c r="C41" s="18" t="s">
        <v>55</v>
      </c>
      <c r="D41" s="10">
        <f>D13</f>
        <v>8.707</v>
      </c>
      <c r="E41" s="11">
        <f t="shared" si="0"/>
        <v>52.242000000000004</v>
      </c>
      <c r="F41" s="11">
        <v>0</v>
      </c>
      <c r="G41" s="33">
        <f t="shared" si="1"/>
        <v>0</v>
      </c>
      <c r="H41" s="18" t="s">
        <v>30</v>
      </c>
      <c r="I41" s="10">
        <v>0</v>
      </c>
      <c r="J41" s="10">
        <f t="shared" si="2"/>
        <v>99.22999999999999</v>
      </c>
      <c r="K41" s="10">
        <v>0</v>
      </c>
      <c r="L41" s="12">
        <f t="shared" si="3"/>
        <v>-34.678</v>
      </c>
    </row>
    <row r="42" spans="2:12" ht="15.75">
      <c r="B42" s="26">
        <v>45839</v>
      </c>
      <c r="C42" s="18" t="s">
        <v>30</v>
      </c>
      <c r="D42" s="10">
        <v>0</v>
      </c>
      <c r="E42" s="11">
        <f t="shared" si="0"/>
        <v>52.242000000000004</v>
      </c>
      <c r="F42" s="11">
        <v>0</v>
      </c>
      <c r="G42" s="33">
        <f t="shared" si="1"/>
        <v>0</v>
      </c>
      <c r="H42" s="17" t="s">
        <v>36</v>
      </c>
      <c r="I42" s="10">
        <v>0</v>
      </c>
      <c r="J42" s="10">
        <f t="shared" si="2"/>
        <v>99.22999999999999</v>
      </c>
      <c r="K42" s="10">
        <v>0</v>
      </c>
      <c r="L42" s="12">
        <f t="shared" si="3"/>
        <v>-34.678</v>
      </c>
    </row>
    <row r="43" spans="2:12" ht="15.75">
      <c r="B43" s="26">
        <v>45901</v>
      </c>
      <c r="C43" s="18" t="s">
        <v>30</v>
      </c>
      <c r="D43" s="10">
        <v>0</v>
      </c>
      <c r="E43" s="11">
        <f t="shared" si="0"/>
        <v>52.242000000000004</v>
      </c>
      <c r="F43" s="11">
        <v>0</v>
      </c>
      <c r="G43" s="33">
        <f t="shared" si="1"/>
        <v>0</v>
      </c>
      <c r="H43" s="36" t="s">
        <v>59</v>
      </c>
      <c r="I43" s="10">
        <f>K43</f>
        <v>-14.861999999999998</v>
      </c>
      <c r="J43" s="10">
        <f t="shared" si="2"/>
        <v>84.368</v>
      </c>
      <c r="K43" s="10">
        <f>-I40</f>
        <v>-14.861999999999998</v>
      </c>
      <c r="L43" s="12">
        <f t="shared" si="3"/>
        <v>-49.53999999999999</v>
      </c>
    </row>
    <row r="44" spans="2:12" ht="15.75">
      <c r="B44" s="26">
        <v>45901</v>
      </c>
      <c r="C44" s="18" t="s">
        <v>30</v>
      </c>
      <c r="D44" s="10">
        <v>0</v>
      </c>
      <c r="E44" s="11">
        <f t="shared" si="0"/>
        <v>52.242000000000004</v>
      </c>
      <c r="F44" s="11">
        <v>0</v>
      </c>
      <c r="G44" s="33">
        <f t="shared" si="1"/>
        <v>0</v>
      </c>
      <c r="H44" s="36" t="s">
        <v>37</v>
      </c>
      <c r="I44" s="10">
        <f>-I27-I22-I25-I28</f>
        <v>-58.247</v>
      </c>
      <c r="J44" s="10">
        <f t="shared" si="2"/>
        <v>26.120999999999995</v>
      </c>
      <c r="K44" s="10">
        <v>0</v>
      </c>
      <c r="L44" s="12">
        <f t="shared" si="3"/>
        <v>-49.53999999999999</v>
      </c>
    </row>
    <row r="45" spans="2:12" ht="15.75">
      <c r="B45" s="26">
        <v>45901</v>
      </c>
      <c r="C45" s="18" t="s">
        <v>30</v>
      </c>
      <c r="D45" s="10">
        <v>0</v>
      </c>
      <c r="E45" s="11">
        <f t="shared" si="0"/>
        <v>52.242000000000004</v>
      </c>
      <c r="F45" s="11">
        <v>0</v>
      </c>
      <c r="G45" s="33">
        <f t="shared" si="1"/>
        <v>0</v>
      </c>
      <c r="H45" s="36" t="s">
        <v>60</v>
      </c>
      <c r="I45" s="10">
        <f>D8</f>
        <v>7.593</v>
      </c>
      <c r="J45" s="10">
        <f t="shared" si="2"/>
        <v>33.714</v>
      </c>
      <c r="K45" s="10">
        <v>0</v>
      </c>
      <c r="L45" s="12">
        <f t="shared" si="3"/>
        <v>-49.53999999999999</v>
      </c>
    </row>
    <row r="46" spans="2:12" ht="15.75">
      <c r="B46" s="26">
        <v>45992</v>
      </c>
      <c r="C46" s="18" t="s">
        <v>30</v>
      </c>
      <c r="D46" s="10">
        <v>0</v>
      </c>
      <c r="E46" s="11">
        <f t="shared" si="0"/>
        <v>52.242000000000004</v>
      </c>
      <c r="F46" s="11">
        <v>0</v>
      </c>
      <c r="G46" s="33">
        <f t="shared" si="1"/>
        <v>0</v>
      </c>
      <c r="H46" s="36" t="s">
        <v>61</v>
      </c>
      <c r="I46" s="10">
        <f>K46</f>
        <v>-7.593</v>
      </c>
      <c r="J46" s="10">
        <f t="shared" si="2"/>
        <v>26.121</v>
      </c>
      <c r="K46" s="10">
        <f>-I45</f>
        <v>-7.593</v>
      </c>
      <c r="L46" s="12">
        <f t="shared" si="3"/>
        <v>-57.132999999999996</v>
      </c>
    </row>
    <row r="47" spans="2:12" ht="15.75">
      <c r="B47" s="26">
        <v>45992</v>
      </c>
      <c r="C47" s="18" t="s">
        <v>30</v>
      </c>
      <c r="D47" s="10">
        <v>0</v>
      </c>
      <c r="E47" s="11">
        <f t="shared" si="0"/>
        <v>52.242000000000004</v>
      </c>
      <c r="F47" s="11">
        <v>0</v>
      </c>
      <c r="G47" s="33">
        <f t="shared" si="1"/>
        <v>0</v>
      </c>
      <c r="H47" s="36" t="s">
        <v>62</v>
      </c>
      <c r="I47" s="10">
        <f>D9</f>
        <v>12.655000000000001</v>
      </c>
      <c r="J47" s="10">
        <f t="shared" si="2"/>
        <v>38.775999999999996</v>
      </c>
      <c r="K47" s="10">
        <v>0</v>
      </c>
      <c r="L47" s="12">
        <f t="shared" si="3"/>
        <v>-57.132999999999996</v>
      </c>
    </row>
    <row r="48" spans="2:12" ht="15.75">
      <c r="B48" s="26">
        <v>46023</v>
      </c>
      <c r="C48" s="18" t="s">
        <v>56</v>
      </c>
      <c r="D48" s="10">
        <f>D13</f>
        <v>8.707</v>
      </c>
      <c r="E48" s="11">
        <f t="shared" si="0"/>
        <v>60.949000000000005</v>
      </c>
      <c r="F48" s="11">
        <v>0</v>
      </c>
      <c r="G48" s="33">
        <f t="shared" si="1"/>
        <v>0</v>
      </c>
      <c r="H48" s="37" t="s">
        <v>30</v>
      </c>
      <c r="I48" s="10">
        <v>0</v>
      </c>
      <c r="J48" s="10">
        <f t="shared" si="2"/>
        <v>38.775999999999996</v>
      </c>
      <c r="K48" s="10">
        <v>0</v>
      </c>
      <c r="L48" s="12">
        <f t="shared" si="3"/>
        <v>-57.132999999999996</v>
      </c>
    </row>
    <row r="49" spans="2:12" ht="15.75">
      <c r="B49" s="26">
        <v>46054</v>
      </c>
      <c r="C49" s="18" t="s">
        <v>76</v>
      </c>
      <c r="D49" s="10">
        <v>0</v>
      </c>
      <c r="E49" s="11">
        <f t="shared" si="0"/>
        <v>60.949000000000005</v>
      </c>
      <c r="F49" s="11">
        <v>0</v>
      </c>
      <c r="G49" s="33">
        <f t="shared" si="1"/>
        <v>0</v>
      </c>
      <c r="H49" s="18" t="s">
        <v>76</v>
      </c>
      <c r="I49" s="10">
        <v>0</v>
      </c>
      <c r="J49" s="10">
        <f t="shared" si="2"/>
        <v>38.775999999999996</v>
      </c>
      <c r="K49" s="11">
        <v>0</v>
      </c>
      <c r="L49" s="12">
        <f t="shared" si="3"/>
        <v>-57.132999999999996</v>
      </c>
    </row>
    <row r="50" spans="2:12" ht="15.75">
      <c r="B50" s="26">
        <v>46082</v>
      </c>
      <c r="C50" s="18" t="s">
        <v>30</v>
      </c>
      <c r="D50" s="10">
        <v>0</v>
      </c>
      <c r="E50" s="11">
        <f t="shared" si="0"/>
        <v>60.949000000000005</v>
      </c>
      <c r="F50" s="11">
        <v>0</v>
      </c>
      <c r="G50" s="33">
        <f t="shared" si="1"/>
        <v>0</v>
      </c>
      <c r="H50" s="37" t="s">
        <v>74</v>
      </c>
      <c r="I50" s="10">
        <f>K50</f>
        <v>-12.655000000000001</v>
      </c>
      <c r="J50" s="10">
        <f t="shared" si="2"/>
        <v>26.120999999999995</v>
      </c>
      <c r="K50" s="10">
        <f>-I47</f>
        <v>-12.655000000000001</v>
      </c>
      <c r="L50" s="12">
        <f t="shared" si="3"/>
        <v>-69.788</v>
      </c>
    </row>
    <row r="51" spans="2:12" ht="15.75">
      <c r="B51" s="26">
        <v>46082</v>
      </c>
      <c r="C51" s="18" t="s">
        <v>30</v>
      </c>
      <c r="D51" s="10">
        <v>0</v>
      </c>
      <c r="E51" s="11">
        <f t="shared" si="0"/>
        <v>60.949000000000005</v>
      </c>
      <c r="F51" s="11">
        <v>0</v>
      </c>
      <c r="G51" s="33">
        <f t="shared" si="1"/>
        <v>0</v>
      </c>
      <c r="H51" s="36" t="s">
        <v>63</v>
      </c>
      <c r="I51" s="10">
        <f>D10</f>
        <v>15.186</v>
      </c>
      <c r="J51" s="10">
        <f t="shared" si="2"/>
        <v>41.306999999999995</v>
      </c>
      <c r="K51" s="10">
        <v>0</v>
      </c>
      <c r="L51" s="12">
        <f t="shared" si="3"/>
        <v>-69.788</v>
      </c>
    </row>
    <row r="52" spans="2:12" ht="15.75">
      <c r="B52" s="26">
        <v>46113</v>
      </c>
      <c r="C52" s="17" t="s">
        <v>25</v>
      </c>
      <c r="D52" s="10">
        <v>0</v>
      </c>
      <c r="E52" s="11">
        <f t="shared" si="0"/>
        <v>60.949000000000005</v>
      </c>
      <c r="F52" s="11">
        <v>0</v>
      </c>
      <c r="G52" s="33">
        <f t="shared" si="1"/>
        <v>0</v>
      </c>
      <c r="H52" s="17" t="s">
        <v>25</v>
      </c>
      <c r="I52" s="10">
        <v>0</v>
      </c>
      <c r="J52" s="10">
        <f t="shared" si="2"/>
        <v>41.306999999999995</v>
      </c>
      <c r="K52" s="10">
        <v>0</v>
      </c>
      <c r="L52" s="12">
        <f t="shared" si="3"/>
        <v>-69.788</v>
      </c>
    </row>
    <row r="53" spans="2:12" ht="15.75">
      <c r="B53" s="26">
        <v>46143</v>
      </c>
      <c r="C53" s="17" t="s">
        <v>52</v>
      </c>
      <c r="D53" s="10">
        <v>0</v>
      </c>
      <c r="E53" s="11">
        <f t="shared" si="0"/>
        <v>60.949000000000005</v>
      </c>
      <c r="F53" s="11">
        <v>0</v>
      </c>
      <c r="G53" s="33">
        <f t="shared" si="1"/>
        <v>0</v>
      </c>
      <c r="H53" s="17" t="s">
        <v>52</v>
      </c>
      <c r="I53" s="10">
        <v>0</v>
      </c>
      <c r="J53" s="10">
        <f t="shared" si="2"/>
        <v>41.306999999999995</v>
      </c>
      <c r="K53" s="10">
        <v>0</v>
      </c>
      <c r="L53" s="12">
        <f t="shared" si="3"/>
        <v>-69.788</v>
      </c>
    </row>
    <row r="54" spans="2:12" ht="15.75">
      <c r="B54" s="26">
        <v>46174</v>
      </c>
      <c r="C54" s="18" t="s">
        <v>30</v>
      </c>
      <c r="D54" s="10">
        <v>0</v>
      </c>
      <c r="E54" s="11">
        <f t="shared" si="0"/>
        <v>60.949000000000005</v>
      </c>
      <c r="F54" s="11">
        <v>0</v>
      </c>
      <c r="G54" s="33">
        <f t="shared" si="1"/>
        <v>0</v>
      </c>
      <c r="H54" s="18" t="s">
        <v>54</v>
      </c>
      <c r="I54" s="10">
        <f>-I51</f>
        <v>-15.186</v>
      </c>
      <c r="J54" s="10">
        <f t="shared" si="2"/>
        <v>26.120999999999995</v>
      </c>
      <c r="K54" s="10">
        <v>0</v>
      </c>
      <c r="L54" s="12">
        <f t="shared" si="3"/>
        <v>-69.788</v>
      </c>
    </row>
    <row r="55" spans="2:12" ht="17" thickBot="1">
      <c r="B55" s="27">
        <v>46204</v>
      </c>
      <c r="C55" s="32" t="s">
        <v>53</v>
      </c>
      <c r="D55" s="14">
        <f>-E54</f>
        <v>-60.949000000000005</v>
      </c>
      <c r="E55" s="15">
        <f t="shared" si="0"/>
        <v>0</v>
      </c>
      <c r="F55" s="15">
        <v>0</v>
      </c>
      <c r="G55" s="34">
        <f t="shared" si="1"/>
        <v>0</v>
      </c>
      <c r="H55" s="19" t="s">
        <v>51</v>
      </c>
      <c r="I55" s="14">
        <f>-I18-I19-I21-I24</f>
        <v>-26.121000000000002</v>
      </c>
      <c r="J55" s="14">
        <f t="shared" si="2"/>
        <v>0</v>
      </c>
      <c r="K55" s="14">
        <v>0</v>
      </c>
      <c r="L55" s="16">
        <f t="shared" si="3"/>
        <v>-69.788</v>
      </c>
    </row>
    <row r="56" spans="2:12" ht="15.75">
      <c r="B56" s="4"/>
      <c r="C56" s="17"/>
      <c r="D56" s="9"/>
      <c r="E56" s="9"/>
      <c r="F56" s="9"/>
      <c r="G56" s="9"/>
      <c r="H56" s="17"/>
      <c r="I56" s="9"/>
      <c r="J56" s="9"/>
      <c r="K56" s="9"/>
      <c r="L56" s="20"/>
    </row>
    <row r="57" spans="3:12" ht="15.75">
      <c r="C57" s="17"/>
      <c r="D57" s="9"/>
      <c r="E57" s="9"/>
      <c r="F57" s="9"/>
      <c r="G57" s="9"/>
      <c r="H57" s="17"/>
      <c r="I57" s="9"/>
      <c r="J57" s="9"/>
      <c r="K57" s="9"/>
      <c r="L57" s="20"/>
    </row>
    <row r="58" spans="3:12" ht="15.75">
      <c r="C58" s="17"/>
      <c r="D58" s="21" t="s">
        <v>50</v>
      </c>
      <c r="E58" s="11">
        <f>MAX(E18:E55)</f>
        <v>60.949000000000005</v>
      </c>
      <c r="F58" s="9"/>
      <c r="G58" s="9"/>
      <c r="H58" s="17"/>
      <c r="I58" s="21" t="s">
        <v>27</v>
      </c>
      <c r="J58" s="11">
        <f>MAX(J18:J55)</f>
        <v>99.22999999999999</v>
      </c>
      <c r="K58" s="9"/>
      <c r="L58" s="20"/>
    </row>
    <row r="59" spans="3:12" ht="15.75">
      <c r="C59" s="17"/>
      <c r="D59" s="21" t="s">
        <v>28</v>
      </c>
      <c r="E59" s="22">
        <f>E58/D3</f>
        <v>1.230298748486072</v>
      </c>
      <c r="F59" s="9"/>
      <c r="G59" s="9"/>
      <c r="H59" s="17"/>
      <c r="I59" s="21" t="s">
        <v>28</v>
      </c>
      <c r="J59" s="22">
        <f>J58/D3</f>
        <v>2.0030278562777553</v>
      </c>
      <c r="K59" s="9"/>
      <c r="L59" s="20"/>
    </row>
    <row r="60" spans="3:12" ht="15.75">
      <c r="C60" s="17"/>
      <c r="D60" s="21" t="s">
        <v>72</v>
      </c>
      <c r="E60" s="11">
        <f>G55</f>
        <v>0</v>
      </c>
      <c r="F60" s="9"/>
      <c r="G60" s="9"/>
      <c r="H60" s="17"/>
      <c r="I60" s="21" t="s">
        <v>72</v>
      </c>
      <c r="J60" s="11">
        <f>-L55</f>
        <v>69.788</v>
      </c>
      <c r="K60" s="9"/>
      <c r="L60" s="20"/>
    </row>
    <row r="61" spans="3:12" ht="17" thickBot="1">
      <c r="C61" s="19"/>
      <c r="D61" s="23" t="s">
        <v>29</v>
      </c>
      <c r="E61" s="24">
        <f>G55/D3</f>
        <v>0</v>
      </c>
      <c r="F61" s="13"/>
      <c r="G61" s="13"/>
      <c r="H61" s="19"/>
      <c r="I61" s="23" t="s">
        <v>29</v>
      </c>
      <c r="J61" s="24">
        <f>J60/D3</f>
        <v>1.4087202260799354</v>
      </c>
      <c r="K61" s="13"/>
      <c r="L61" s="25"/>
    </row>
    <row r="62" spans="8:12" ht="15.75">
      <c r="H62" s="9"/>
      <c r="I62" s="9"/>
      <c r="J62" s="9"/>
      <c r="K62" s="9"/>
      <c r="L62" s="9"/>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6A95-347F-364B-9B39-F6739CE58FD2}">
  <dimension ref="A1:L43"/>
  <sheetViews>
    <sheetView workbookViewId="0" topLeftCell="A1">
      <selection activeCell="A3" sqref="A3:D11"/>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80</v>
      </c>
    </row>
    <row r="2" ht="17" thickBot="1"/>
    <row r="3" spans="1:4" ht="17" thickBot="1">
      <c r="A3" s="39" t="s">
        <v>66</v>
      </c>
      <c r="B3" s="40"/>
      <c r="C3" s="40"/>
      <c r="D3" s="41">
        <f>12*Assumptions!C2*Assumptions!C16</f>
        <v>31.332</v>
      </c>
    </row>
    <row r="4" spans="1:4" ht="15.75">
      <c r="A4" s="42" t="s">
        <v>67</v>
      </c>
      <c r="B4" s="43"/>
      <c r="C4" s="43"/>
      <c r="D4" s="44">
        <f>Assumptions!C2*Assumptions!C16*3</f>
        <v>7.833</v>
      </c>
    </row>
    <row r="5" spans="1:4" ht="15.75">
      <c r="A5" s="45" t="s">
        <v>68</v>
      </c>
      <c r="B5" s="38"/>
      <c r="C5" s="38"/>
      <c r="D5" s="46">
        <f>Assumptions!C2*Assumptions!C16*3</f>
        <v>7.833</v>
      </c>
    </row>
    <row r="6" spans="1:5" ht="15.75">
      <c r="A6" s="45" t="s">
        <v>69</v>
      </c>
      <c r="B6" s="38"/>
      <c r="C6" s="38"/>
      <c r="D6" s="46">
        <f>Assumptions!C2*Assumptions!C16*3</f>
        <v>7.833</v>
      </c>
      <c r="E6" s="5"/>
    </row>
    <row r="7" spans="1:5" ht="17" thickBot="1">
      <c r="A7" s="47" t="s">
        <v>70</v>
      </c>
      <c r="B7" s="48"/>
      <c r="C7" s="48"/>
      <c r="D7" s="49">
        <f>Assumptions!C2*Assumptions!C16*3</f>
        <v>7.833</v>
      </c>
      <c r="E7" s="5"/>
    </row>
    <row r="8" spans="1:5" ht="15.75">
      <c r="A8" s="42" t="s">
        <v>38</v>
      </c>
      <c r="B8" s="43"/>
      <c r="C8" s="43"/>
      <c r="D8" s="44">
        <f>Assumptions!C2*Assumptions!C22*3</f>
        <v>7.773000000000001</v>
      </c>
      <c r="E8" s="5"/>
    </row>
    <row r="9" spans="1:5" ht="15.75">
      <c r="A9" s="45" t="s">
        <v>39</v>
      </c>
      <c r="B9" s="38"/>
      <c r="C9" s="38"/>
      <c r="D9" s="46">
        <f>Assumptions!C2*Assumptions!C22*3</f>
        <v>7.773000000000001</v>
      </c>
      <c r="E9" s="5"/>
    </row>
    <row r="10" spans="1:5" ht="15.75">
      <c r="A10" s="45" t="s">
        <v>40</v>
      </c>
      <c r="B10" s="38"/>
      <c r="C10" s="38"/>
      <c r="D10" s="46">
        <f>Assumptions!C2*Assumptions!C22*3</f>
        <v>7.773000000000001</v>
      </c>
      <c r="E10" s="5"/>
    </row>
    <row r="11" spans="1:5" ht="17" thickBot="1">
      <c r="A11" s="47" t="s">
        <v>41</v>
      </c>
      <c r="B11" s="48"/>
      <c r="C11" s="48"/>
      <c r="D11" s="49">
        <f>Assumptions!C2*Assumptions!C22*3</f>
        <v>7.773000000000001</v>
      </c>
      <c r="E11" s="5"/>
    </row>
    <row r="12" ht="15.75">
      <c r="D12" s="5"/>
    </row>
    <row r="13" spans="1:4" ht="15.75">
      <c r="A13" t="s">
        <v>32</v>
      </c>
      <c r="D13" s="5">
        <f>Assumptions!C14</f>
        <v>8.707</v>
      </c>
    </row>
    <row r="14" spans="1:4" ht="15.75">
      <c r="A14" t="s">
        <v>31</v>
      </c>
      <c r="D14" s="5">
        <f>MIN(D13,(D3/3))</f>
        <v>8.707</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6.707000000000001</v>
      </c>
      <c r="J19" s="10">
        <f>J18+I19</f>
        <v>8.707</v>
      </c>
      <c r="K19" s="10">
        <v>0</v>
      </c>
      <c r="L19" s="12">
        <f>K19+L18</f>
        <v>0</v>
      </c>
    </row>
    <row r="20" spans="2:12" ht="15.75">
      <c r="B20" s="26">
        <v>44228</v>
      </c>
      <c r="C20" s="17" t="s">
        <v>16</v>
      </c>
      <c r="D20" s="10">
        <v>0</v>
      </c>
      <c r="E20" s="11">
        <f aca="true" t="shared" si="0" ref="E20:E36">D20+E19</f>
        <v>8.707</v>
      </c>
      <c r="F20" s="11">
        <v>0</v>
      </c>
      <c r="G20" s="33">
        <f aca="true" t="shared" si="1" ref="G20:G36">F20+G19</f>
        <v>0</v>
      </c>
      <c r="H20" s="17" t="s">
        <v>16</v>
      </c>
      <c r="I20" s="10">
        <v>0</v>
      </c>
      <c r="J20" s="10">
        <f aca="true" t="shared" si="2" ref="J20:J36">J19+I20</f>
        <v>8.707</v>
      </c>
      <c r="K20" s="10">
        <v>0</v>
      </c>
      <c r="L20" s="12">
        <f aca="true" t="shared" si="3" ref="L20:L36">K20+L19</f>
        <v>0</v>
      </c>
    </row>
    <row r="21" spans="2:12" ht="15.75">
      <c r="B21" s="26">
        <v>44562</v>
      </c>
      <c r="C21" s="17" t="s">
        <v>17</v>
      </c>
      <c r="D21" s="10">
        <f>D13</f>
        <v>8.707</v>
      </c>
      <c r="E21" s="11">
        <f t="shared" si="0"/>
        <v>17.414</v>
      </c>
      <c r="F21" s="11">
        <v>0</v>
      </c>
      <c r="G21" s="33">
        <f t="shared" si="1"/>
        <v>0</v>
      </c>
      <c r="H21" s="17" t="s">
        <v>17</v>
      </c>
      <c r="I21" s="10">
        <f>D14</f>
        <v>8.707</v>
      </c>
      <c r="J21" s="10">
        <f t="shared" si="2"/>
        <v>17.414</v>
      </c>
      <c r="K21" s="10">
        <v>0</v>
      </c>
      <c r="L21" s="12">
        <f t="shared" si="3"/>
        <v>0</v>
      </c>
    </row>
    <row r="22" spans="2:12" ht="15.75">
      <c r="B22" s="26">
        <v>44562</v>
      </c>
      <c r="C22" s="18" t="s">
        <v>30</v>
      </c>
      <c r="D22" s="10">
        <v>0</v>
      </c>
      <c r="E22" s="11">
        <f t="shared" si="0"/>
        <v>17.414</v>
      </c>
      <c r="F22" s="11">
        <v>0</v>
      </c>
      <c r="G22" s="33">
        <f t="shared" si="1"/>
        <v>0</v>
      </c>
      <c r="H22" s="17" t="s">
        <v>33</v>
      </c>
      <c r="I22" s="10">
        <f>0*MIN((1*D14),(D3/6))</f>
        <v>0</v>
      </c>
      <c r="J22" s="10">
        <f t="shared" si="2"/>
        <v>17.414</v>
      </c>
      <c r="K22" s="10">
        <v>0</v>
      </c>
      <c r="L22" s="12">
        <f t="shared" si="3"/>
        <v>0</v>
      </c>
    </row>
    <row r="23" spans="2:12" ht="15.75">
      <c r="B23" s="26">
        <v>44593</v>
      </c>
      <c r="C23" s="17" t="s">
        <v>18</v>
      </c>
      <c r="D23" s="10">
        <v>0</v>
      </c>
      <c r="E23" s="11">
        <f t="shared" si="0"/>
        <v>17.414</v>
      </c>
      <c r="F23" s="11">
        <v>0</v>
      </c>
      <c r="G23" s="33">
        <f t="shared" si="1"/>
        <v>0</v>
      </c>
      <c r="H23" s="17" t="s">
        <v>18</v>
      </c>
      <c r="I23" s="10">
        <v>0</v>
      </c>
      <c r="J23" s="10">
        <f t="shared" si="2"/>
        <v>17.414</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8.707</v>
      </c>
      <c r="J24" s="10">
        <f t="shared" si="2"/>
        <v>26.121000000000002</v>
      </c>
      <c r="K24" s="10">
        <v>0</v>
      </c>
      <c r="L24" s="12">
        <f t="shared" si="3"/>
        <v>0</v>
      </c>
    </row>
    <row r="25" spans="2:12" ht="15.75">
      <c r="B25" s="26">
        <v>44927</v>
      </c>
      <c r="C25" s="18" t="s">
        <v>30</v>
      </c>
      <c r="D25" s="10">
        <v>0</v>
      </c>
      <c r="E25" s="11">
        <f t="shared" si="0"/>
        <v>26.121000000000002</v>
      </c>
      <c r="F25" s="11">
        <v>0</v>
      </c>
      <c r="G25" s="33">
        <f t="shared" si="1"/>
        <v>0</v>
      </c>
      <c r="H25" s="17" t="s">
        <v>34</v>
      </c>
      <c r="I25" s="10">
        <f>0*MIN((3*D14),(D3/2))-I22</f>
        <v>0</v>
      </c>
      <c r="J25" s="10">
        <f t="shared" si="2"/>
        <v>26.121000000000002</v>
      </c>
      <c r="K25" s="10">
        <v>0</v>
      </c>
      <c r="L25" s="12">
        <f t="shared" si="3"/>
        <v>0</v>
      </c>
    </row>
    <row r="26" spans="2:12" ht="15.75">
      <c r="B26" s="26">
        <v>44958</v>
      </c>
      <c r="C26" s="17" t="s">
        <v>20</v>
      </c>
      <c r="D26" s="10">
        <v>0</v>
      </c>
      <c r="E26" s="11">
        <f t="shared" si="0"/>
        <v>26.121000000000002</v>
      </c>
      <c r="F26" s="11">
        <v>0</v>
      </c>
      <c r="G26" s="33">
        <f t="shared" si="1"/>
        <v>0</v>
      </c>
      <c r="H26" s="17" t="s">
        <v>20</v>
      </c>
      <c r="I26" s="10">
        <v>0</v>
      </c>
      <c r="J26" s="10">
        <f t="shared" si="2"/>
        <v>26.121000000000002</v>
      </c>
      <c r="K26" s="10">
        <v>0</v>
      </c>
      <c r="L26" s="12">
        <f t="shared" si="3"/>
        <v>0</v>
      </c>
    </row>
    <row r="27" spans="2:12" ht="15.75">
      <c r="B27" s="26">
        <v>45139</v>
      </c>
      <c r="C27" s="18" t="s">
        <v>30</v>
      </c>
      <c r="D27" s="10">
        <v>0</v>
      </c>
      <c r="E27" s="11">
        <f t="shared" si="0"/>
        <v>26.121000000000002</v>
      </c>
      <c r="F27" s="11">
        <v>0</v>
      </c>
      <c r="G27" s="33">
        <f t="shared" si="1"/>
        <v>0</v>
      </c>
      <c r="H27" s="17" t="s">
        <v>36</v>
      </c>
      <c r="I27" s="10">
        <v>0</v>
      </c>
      <c r="J27" s="10">
        <f t="shared" si="2"/>
        <v>26.121000000000002</v>
      </c>
      <c r="K27" s="10">
        <v>0</v>
      </c>
      <c r="L27" s="12">
        <f t="shared" si="3"/>
        <v>0</v>
      </c>
    </row>
    <row r="28" spans="2:12" ht="15.75">
      <c r="B28" s="26">
        <v>45200</v>
      </c>
      <c r="C28" s="18" t="s">
        <v>30</v>
      </c>
      <c r="D28" s="10">
        <v>0</v>
      </c>
      <c r="E28" s="11">
        <f t="shared" si="0"/>
        <v>26.121000000000002</v>
      </c>
      <c r="F28" s="11">
        <v>0</v>
      </c>
      <c r="G28" s="33">
        <f t="shared" si="1"/>
        <v>0</v>
      </c>
      <c r="H28" s="17" t="s">
        <v>37</v>
      </c>
      <c r="I28" s="10">
        <v>0</v>
      </c>
      <c r="J28" s="10">
        <f t="shared" si="2"/>
        <v>26.121000000000002</v>
      </c>
      <c r="K28" s="10">
        <v>0</v>
      </c>
      <c r="L28" s="12">
        <f t="shared" si="3"/>
        <v>0</v>
      </c>
    </row>
    <row r="29" spans="2:12" ht="15.75">
      <c r="B29" s="26">
        <v>45292</v>
      </c>
      <c r="C29" s="18" t="s">
        <v>30</v>
      </c>
      <c r="D29" s="10">
        <v>0</v>
      </c>
      <c r="E29" s="11">
        <f t="shared" si="0"/>
        <v>26.121000000000002</v>
      </c>
      <c r="F29" s="11">
        <v>0</v>
      </c>
      <c r="G29" s="33">
        <f t="shared" si="1"/>
        <v>0</v>
      </c>
      <c r="H29" s="17" t="s">
        <v>21</v>
      </c>
      <c r="I29" s="10">
        <f>D14*0</f>
        <v>0</v>
      </c>
      <c r="J29" s="10">
        <f t="shared" si="2"/>
        <v>26.121000000000002</v>
      </c>
      <c r="K29" s="10">
        <v>0</v>
      </c>
      <c r="L29" s="12">
        <f t="shared" si="3"/>
        <v>0</v>
      </c>
    </row>
    <row r="30" spans="2:12" ht="15.75">
      <c r="B30" s="26">
        <v>45292</v>
      </c>
      <c r="C30" s="18" t="s">
        <v>30</v>
      </c>
      <c r="D30" s="10">
        <v>0</v>
      </c>
      <c r="E30" s="11">
        <f t="shared" si="0"/>
        <v>26.121000000000002</v>
      </c>
      <c r="F30" s="11">
        <v>0</v>
      </c>
      <c r="G30" s="33">
        <f t="shared" si="1"/>
        <v>0</v>
      </c>
      <c r="H30" s="17" t="s">
        <v>35</v>
      </c>
      <c r="I30" s="10">
        <f>0*MIN((6*D14),(D3))-I25-I22</f>
        <v>0</v>
      </c>
      <c r="J30" s="10">
        <f t="shared" si="2"/>
        <v>26.121000000000002</v>
      </c>
      <c r="K30" s="10">
        <v>0</v>
      </c>
      <c r="L30" s="12">
        <f t="shared" si="3"/>
        <v>0</v>
      </c>
    </row>
    <row r="31" spans="2:12" ht="15.75">
      <c r="B31" s="26">
        <v>45323</v>
      </c>
      <c r="C31" s="17" t="s">
        <v>22</v>
      </c>
      <c r="D31" s="10">
        <v>0</v>
      </c>
      <c r="E31" s="11">
        <f t="shared" si="0"/>
        <v>26.121000000000002</v>
      </c>
      <c r="F31" s="11">
        <v>0</v>
      </c>
      <c r="G31" s="33">
        <f t="shared" si="1"/>
        <v>0</v>
      </c>
      <c r="H31" s="17" t="s">
        <v>22</v>
      </c>
      <c r="I31" s="10">
        <v>0</v>
      </c>
      <c r="J31" s="10">
        <f t="shared" si="2"/>
        <v>26.121000000000002</v>
      </c>
      <c r="K31" s="10">
        <v>0</v>
      </c>
      <c r="L31" s="12">
        <f t="shared" si="3"/>
        <v>0</v>
      </c>
    </row>
    <row r="32" spans="2:12" ht="15.75">
      <c r="B32" s="26">
        <v>45413</v>
      </c>
      <c r="C32" s="18" t="s">
        <v>30</v>
      </c>
      <c r="D32" s="10">
        <v>0</v>
      </c>
      <c r="E32" s="11">
        <f t="shared" si="0"/>
        <v>26.121000000000002</v>
      </c>
      <c r="F32" s="11">
        <v>0</v>
      </c>
      <c r="G32" s="33">
        <f t="shared" si="1"/>
        <v>0</v>
      </c>
      <c r="H32" s="17" t="s">
        <v>37</v>
      </c>
      <c r="I32" s="10">
        <f>-I22-I25-I30-I29</f>
        <v>0</v>
      </c>
      <c r="J32" s="10">
        <f t="shared" si="2"/>
        <v>26.121000000000002</v>
      </c>
      <c r="K32" s="10">
        <v>0</v>
      </c>
      <c r="L32" s="12">
        <f t="shared" si="3"/>
        <v>0</v>
      </c>
    </row>
    <row r="33" spans="2:12" ht="15.75">
      <c r="B33" s="26">
        <v>45383</v>
      </c>
      <c r="C33" s="17" t="s">
        <v>25</v>
      </c>
      <c r="D33" s="10">
        <v>0</v>
      </c>
      <c r="E33" s="11">
        <f t="shared" si="0"/>
        <v>26.121000000000002</v>
      </c>
      <c r="F33" s="11">
        <v>0</v>
      </c>
      <c r="G33" s="33">
        <f t="shared" si="1"/>
        <v>0</v>
      </c>
      <c r="H33" s="17" t="s">
        <v>25</v>
      </c>
      <c r="I33" s="10">
        <v>0</v>
      </c>
      <c r="J33" s="10">
        <f t="shared" si="2"/>
        <v>26.121000000000002</v>
      </c>
      <c r="K33" s="10">
        <v>0</v>
      </c>
      <c r="L33" s="12">
        <f t="shared" si="3"/>
        <v>0</v>
      </c>
    </row>
    <row r="34" spans="2:12" ht="15.75">
      <c r="B34" s="26">
        <v>45413</v>
      </c>
      <c r="C34" s="17" t="s">
        <v>52</v>
      </c>
      <c r="D34" s="10">
        <v>0</v>
      </c>
      <c r="E34" s="11">
        <f t="shared" si="0"/>
        <v>26.121000000000002</v>
      </c>
      <c r="F34" s="11">
        <v>0</v>
      </c>
      <c r="G34" s="33">
        <f t="shared" si="1"/>
        <v>0</v>
      </c>
      <c r="H34" s="17" t="s">
        <v>52</v>
      </c>
      <c r="I34" s="10">
        <v>0</v>
      </c>
      <c r="J34" s="10">
        <f t="shared" si="2"/>
        <v>26.121000000000002</v>
      </c>
      <c r="K34" s="10">
        <v>0</v>
      </c>
      <c r="L34" s="12">
        <f t="shared" si="3"/>
        <v>0</v>
      </c>
    </row>
    <row r="35" spans="2:12" ht="15.75">
      <c r="B35" s="26">
        <v>45444</v>
      </c>
      <c r="C35" s="17" t="s">
        <v>23</v>
      </c>
      <c r="D35" s="10">
        <v>0</v>
      </c>
      <c r="E35" s="11">
        <f t="shared" si="0"/>
        <v>26.121000000000002</v>
      </c>
      <c r="F35" s="11">
        <v>0</v>
      </c>
      <c r="G35" s="33">
        <f t="shared" si="1"/>
        <v>0</v>
      </c>
      <c r="H35" s="17" t="s">
        <v>23</v>
      </c>
      <c r="I35" s="10">
        <v>0</v>
      </c>
      <c r="J35" s="10">
        <f t="shared" si="2"/>
        <v>26.121000000000002</v>
      </c>
      <c r="K35" s="10">
        <v>0</v>
      </c>
      <c r="L35" s="12">
        <f t="shared" si="3"/>
        <v>0</v>
      </c>
    </row>
    <row r="36" spans="2:12" ht="17" thickBot="1">
      <c r="B36" s="27">
        <v>45474</v>
      </c>
      <c r="C36" s="19" t="s">
        <v>71</v>
      </c>
      <c r="D36" s="14">
        <f>-E35</f>
        <v>-26.121000000000002</v>
      </c>
      <c r="E36" s="15">
        <f t="shared" si="0"/>
        <v>0</v>
      </c>
      <c r="F36" s="15">
        <v>0</v>
      </c>
      <c r="G36" s="34">
        <f t="shared" si="1"/>
        <v>0</v>
      </c>
      <c r="H36" s="19" t="s">
        <v>51</v>
      </c>
      <c r="I36" s="14">
        <f>-I18-I19-I21-I24</f>
        <v>-26.121000000000002</v>
      </c>
      <c r="J36" s="14">
        <f t="shared" si="2"/>
        <v>0</v>
      </c>
      <c r="K36" s="14">
        <v>0</v>
      </c>
      <c r="L36" s="16">
        <f t="shared" si="3"/>
        <v>0</v>
      </c>
    </row>
    <row r="37" spans="2:12" ht="15.75">
      <c r="B37" s="4"/>
      <c r="C37" s="17"/>
      <c r="D37" s="9"/>
      <c r="E37" s="9"/>
      <c r="F37" s="9"/>
      <c r="G37" s="9"/>
      <c r="H37" s="17"/>
      <c r="I37" s="9"/>
      <c r="J37" s="9"/>
      <c r="K37" s="9"/>
      <c r="L37" s="20"/>
    </row>
    <row r="38" spans="3:12" ht="15.75">
      <c r="C38" s="17"/>
      <c r="D38" s="9"/>
      <c r="E38" s="9"/>
      <c r="F38" s="9"/>
      <c r="G38" s="9"/>
      <c r="H38" s="17"/>
      <c r="I38" s="9"/>
      <c r="J38" s="9"/>
      <c r="K38" s="9"/>
      <c r="L38" s="20"/>
    </row>
    <row r="39" spans="3:12" ht="15.75">
      <c r="C39" s="17"/>
      <c r="D39" s="21" t="s">
        <v>50</v>
      </c>
      <c r="E39" s="11">
        <f>MAX(E18:E36)</f>
        <v>26.121000000000002</v>
      </c>
      <c r="F39" s="9"/>
      <c r="G39" s="9"/>
      <c r="H39" s="17"/>
      <c r="I39" s="21" t="s">
        <v>27</v>
      </c>
      <c r="J39" s="11">
        <f>MAX(J18:J36)</f>
        <v>26.121000000000002</v>
      </c>
      <c r="K39" s="9"/>
      <c r="L39" s="20"/>
    </row>
    <row r="40" spans="3:12" ht="15.75">
      <c r="C40" s="17"/>
      <c r="D40" s="21" t="s">
        <v>28</v>
      </c>
      <c r="E40" s="22">
        <f>E39/D3</f>
        <v>0.8336844121026428</v>
      </c>
      <c r="F40" s="9"/>
      <c r="G40" s="9"/>
      <c r="H40" s="17"/>
      <c r="I40" s="21" t="s">
        <v>28</v>
      </c>
      <c r="J40" s="22">
        <f>J39/D3</f>
        <v>0.8336844121026428</v>
      </c>
      <c r="K40" s="9"/>
      <c r="L40" s="20"/>
    </row>
    <row r="41" spans="3:12" ht="15.75">
      <c r="C41" s="17"/>
      <c r="D41" s="21" t="s">
        <v>72</v>
      </c>
      <c r="E41" s="11">
        <f>G36</f>
        <v>0</v>
      </c>
      <c r="F41" s="9"/>
      <c r="G41" s="9"/>
      <c r="H41" s="17"/>
      <c r="I41" s="21" t="s">
        <v>72</v>
      </c>
      <c r="J41" s="11">
        <f>L36</f>
        <v>0</v>
      </c>
      <c r="K41" s="9"/>
      <c r="L41" s="20"/>
    </row>
    <row r="42" spans="3:12" ht="17" thickBot="1">
      <c r="C42" s="19"/>
      <c r="D42" s="23" t="s">
        <v>29</v>
      </c>
      <c r="E42" s="24">
        <f>E41/D3</f>
        <v>0</v>
      </c>
      <c r="F42" s="13"/>
      <c r="G42" s="13"/>
      <c r="H42" s="19"/>
      <c r="I42" s="23" t="s">
        <v>29</v>
      </c>
      <c r="J42" s="24">
        <f>J41/D3</f>
        <v>0</v>
      </c>
      <c r="K42" s="13"/>
      <c r="L42" s="25"/>
    </row>
    <row r="43" spans="8:12" ht="15.75">
      <c r="H43" s="9"/>
      <c r="I43" s="9"/>
      <c r="J43" s="9"/>
      <c r="K43" s="9"/>
      <c r="L43" s="9"/>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EF6C-5981-F940-9DD7-658BA8E1F7FC}">
  <dimension ref="A1:L47"/>
  <sheetViews>
    <sheetView workbookViewId="0" topLeftCell="A1"/>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114</v>
      </c>
    </row>
    <row r="2" ht="17" thickBot="1"/>
    <row r="3" spans="1:4" ht="17" thickBot="1">
      <c r="A3" s="39" t="s">
        <v>66</v>
      </c>
      <c r="B3" s="40"/>
      <c r="C3" s="40"/>
      <c r="D3" s="41">
        <f>12*Assumptions!C2*Assumptions!C16</f>
        <v>31.332</v>
      </c>
    </row>
    <row r="4" spans="1:4" ht="15.75">
      <c r="A4" s="42" t="s">
        <v>67</v>
      </c>
      <c r="B4" s="43"/>
      <c r="C4" s="43"/>
      <c r="D4" s="44">
        <f>Assumptions!C2*Assumptions!C16*3</f>
        <v>7.833</v>
      </c>
    </row>
    <row r="5" spans="1:4" ht="15.75">
      <c r="A5" s="45" t="s">
        <v>68</v>
      </c>
      <c r="B5" s="38"/>
      <c r="C5" s="38"/>
      <c r="D5" s="46">
        <f>Assumptions!C2*Assumptions!C16*3</f>
        <v>7.833</v>
      </c>
    </row>
    <row r="6" spans="1:5" ht="15.75">
      <c r="A6" s="45" t="s">
        <v>69</v>
      </c>
      <c r="B6" s="38"/>
      <c r="C6" s="38"/>
      <c r="D6" s="46">
        <f>Assumptions!C2*Assumptions!C16*3</f>
        <v>7.833</v>
      </c>
      <c r="E6" s="5"/>
    </row>
    <row r="7" spans="1:4" ht="17" thickBot="1">
      <c r="A7" s="47" t="s">
        <v>70</v>
      </c>
      <c r="B7" s="48"/>
      <c r="C7" s="48"/>
      <c r="D7" s="49">
        <f>Assumptions!C2*Assumptions!C16*3</f>
        <v>7.833</v>
      </c>
    </row>
    <row r="8" spans="1:4" ht="15.75">
      <c r="A8" s="42" t="s">
        <v>38</v>
      </c>
      <c r="B8" s="43"/>
      <c r="C8" s="43"/>
      <c r="D8" s="44">
        <f>Assumptions!C2*Assumptions!C22*3</f>
        <v>7.773000000000001</v>
      </c>
    </row>
    <row r="9" spans="1:4" ht="15.75">
      <c r="A9" s="45" t="s">
        <v>39</v>
      </c>
      <c r="B9" s="38"/>
      <c r="C9" s="38"/>
      <c r="D9" s="46">
        <f>Assumptions!C2*Assumptions!C22*3</f>
        <v>7.773000000000001</v>
      </c>
    </row>
    <row r="10" spans="1:4" ht="15.75">
      <c r="A10" s="45" t="s">
        <v>40</v>
      </c>
      <c r="B10" s="38"/>
      <c r="C10" s="38"/>
      <c r="D10" s="46">
        <f>Assumptions!C2*Assumptions!C22*3</f>
        <v>7.773000000000001</v>
      </c>
    </row>
    <row r="11" spans="1:4" ht="17" thickBot="1">
      <c r="A11" s="47" t="s">
        <v>41</v>
      </c>
      <c r="B11" s="48"/>
      <c r="C11" s="48"/>
      <c r="D11" s="49">
        <f>Assumptions!C2*Assumptions!C22*3</f>
        <v>7.773000000000001</v>
      </c>
    </row>
    <row r="12" ht="15.75">
      <c r="D12" s="5"/>
    </row>
    <row r="13" spans="1:4" ht="15.75">
      <c r="A13" t="s">
        <v>32</v>
      </c>
      <c r="D13" s="5">
        <f>Assumptions!C14</f>
        <v>8.707</v>
      </c>
    </row>
    <row r="14" spans="1:4" ht="15.75">
      <c r="A14" t="s">
        <v>31</v>
      </c>
      <c r="D14" s="5">
        <f>MIN(D13,(D3/3))</f>
        <v>8.707</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6.707000000000001</v>
      </c>
      <c r="J19" s="10">
        <f>J18+I19</f>
        <v>8.707</v>
      </c>
      <c r="K19" s="10">
        <v>0</v>
      </c>
      <c r="L19" s="12">
        <f>K19+L18</f>
        <v>0</v>
      </c>
    </row>
    <row r="20" spans="2:12" ht="15.75">
      <c r="B20" s="26">
        <v>44228</v>
      </c>
      <c r="C20" s="17" t="s">
        <v>16</v>
      </c>
      <c r="D20" s="10">
        <v>0</v>
      </c>
      <c r="E20" s="11">
        <f aca="true" t="shared" si="0" ref="E20:E36">D20+E19</f>
        <v>8.707</v>
      </c>
      <c r="F20" s="11">
        <v>0</v>
      </c>
      <c r="G20" s="33">
        <f aca="true" t="shared" si="1" ref="G20:G39">F20+G19</f>
        <v>0</v>
      </c>
      <c r="H20" s="17" t="s">
        <v>16</v>
      </c>
      <c r="I20" s="10">
        <v>0</v>
      </c>
      <c r="J20" s="10">
        <f aca="true" t="shared" si="2" ref="J20:J40">J19+I20</f>
        <v>8.707</v>
      </c>
      <c r="K20" s="10">
        <v>0</v>
      </c>
      <c r="L20" s="12">
        <f aca="true" t="shared" si="3" ref="L20:L40">K20+L19</f>
        <v>0</v>
      </c>
    </row>
    <row r="21" spans="2:12" ht="15.75">
      <c r="B21" s="26">
        <v>44562</v>
      </c>
      <c r="C21" s="17" t="s">
        <v>17</v>
      </c>
      <c r="D21" s="10">
        <f>D13</f>
        <v>8.707</v>
      </c>
      <c r="E21" s="11">
        <f t="shared" si="0"/>
        <v>17.414</v>
      </c>
      <c r="F21" s="11">
        <v>0</v>
      </c>
      <c r="G21" s="33">
        <f t="shared" si="1"/>
        <v>0</v>
      </c>
      <c r="H21" s="17" t="s">
        <v>17</v>
      </c>
      <c r="I21" s="10">
        <f>D14</f>
        <v>8.707</v>
      </c>
      <c r="J21" s="10">
        <f t="shared" si="2"/>
        <v>17.414</v>
      </c>
      <c r="K21" s="10">
        <v>0</v>
      </c>
      <c r="L21" s="12">
        <f t="shared" si="3"/>
        <v>0</v>
      </c>
    </row>
    <row r="22" spans="2:12" ht="15.75">
      <c r="B22" s="26">
        <v>44562</v>
      </c>
      <c r="C22" s="18" t="s">
        <v>30</v>
      </c>
      <c r="D22" s="10">
        <v>0</v>
      </c>
      <c r="E22" s="11">
        <f t="shared" si="0"/>
        <v>17.414</v>
      </c>
      <c r="F22" s="11">
        <v>0</v>
      </c>
      <c r="G22" s="33">
        <f t="shared" si="1"/>
        <v>0</v>
      </c>
      <c r="H22" s="17" t="s">
        <v>33</v>
      </c>
      <c r="I22" s="10">
        <f>MIN((1*D14),(D3/6))</f>
        <v>5.222</v>
      </c>
      <c r="J22" s="10">
        <f t="shared" si="2"/>
        <v>22.636000000000003</v>
      </c>
      <c r="K22" s="10">
        <v>0</v>
      </c>
      <c r="L22" s="12">
        <f t="shared" si="3"/>
        <v>0</v>
      </c>
    </row>
    <row r="23" spans="2:12" ht="15.75">
      <c r="B23" s="26">
        <v>44593</v>
      </c>
      <c r="C23" s="17" t="s">
        <v>18</v>
      </c>
      <c r="D23" s="10">
        <v>0</v>
      </c>
      <c r="E23" s="11">
        <f t="shared" si="0"/>
        <v>17.414</v>
      </c>
      <c r="F23" s="11">
        <v>0</v>
      </c>
      <c r="G23" s="33">
        <f t="shared" si="1"/>
        <v>0</v>
      </c>
      <c r="H23" s="17" t="s">
        <v>18</v>
      </c>
      <c r="I23" s="10">
        <v>0</v>
      </c>
      <c r="J23" s="10">
        <f t="shared" si="2"/>
        <v>22.636000000000003</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8.707</v>
      </c>
      <c r="J24" s="10">
        <f t="shared" si="2"/>
        <v>31.343000000000004</v>
      </c>
      <c r="K24" s="10">
        <v>0</v>
      </c>
      <c r="L24" s="12">
        <f t="shared" si="3"/>
        <v>0</v>
      </c>
    </row>
    <row r="25" spans="2:12" ht="15.75">
      <c r="B25" s="26">
        <v>44927</v>
      </c>
      <c r="C25" s="18" t="s">
        <v>30</v>
      </c>
      <c r="D25" s="10">
        <v>0</v>
      </c>
      <c r="E25" s="11">
        <f t="shared" si="0"/>
        <v>26.121000000000002</v>
      </c>
      <c r="F25" s="11">
        <v>0</v>
      </c>
      <c r="G25" s="33">
        <f t="shared" si="1"/>
        <v>0</v>
      </c>
      <c r="H25" s="17" t="s">
        <v>34</v>
      </c>
      <c r="I25" s="10">
        <f>MIN((3*D14),(D3/2))-I22</f>
        <v>10.443999999999999</v>
      </c>
      <c r="J25" s="10">
        <f t="shared" si="2"/>
        <v>41.787000000000006</v>
      </c>
      <c r="K25" s="10">
        <v>0</v>
      </c>
      <c r="L25" s="12">
        <f t="shared" si="3"/>
        <v>0</v>
      </c>
    </row>
    <row r="26" spans="2:12" ht="15.75">
      <c r="B26" s="26">
        <v>44958</v>
      </c>
      <c r="C26" s="17" t="s">
        <v>20</v>
      </c>
      <c r="D26" s="10">
        <v>0</v>
      </c>
      <c r="E26" s="11">
        <f t="shared" si="0"/>
        <v>26.121000000000002</v>
      </c>
      <c r="F26" s="11">
        <v>0</v>
      </c>
      <c r="G26" s="33">
        <f t="shared" si="1"/>
        <v>0</v>
      </c>
      <c r="H26" s="17" t="s">
        <v>20</v>
      </c>
      <c r="I26" s="10">
        <v>0</v>
      </c>
      <c r="J26" s="10">
        <f t="shared" si="2"/>
        <v>41.787000000000006</v>
      </c>
      <c r="K26" s="10">
        <v>0</v>
      </c>
      <c r="L26" s="12">
        <f t="shared" si="3"/>
        <v>0</v>
      </c>
    </row>
    <row r="27" spans="2:12" ht="15.75">
      <c r="B27" s="26">
        <v>45292</v>
      </c>
      <c r="C27" s="18" t="s">
        <v>30</v>
      </c>
      <c r="D27" s="10">
        <v>0</v>
      </c>
      <c r="E27" s="11">
        <f t="shared" si="0"/>
        <v>26.121000000000002</v>
      </c>
      <c r="F27" s="11">
        <v>0</v>
      </c>
      <c r="G27" s="33">
        <f t="shared" si="1"/>
        <v>0</v>
      </c>
      <c r="H27" s="17" t="s">
        <v>21</v>
      </c>
      <c r="I27" s="10">
        <f>D14</f>
        <v>8.707</v>
      </c>
      <c r="J27" s="10">
        <f t="shared" si="2"/>
        <v>50.49400000000001</v>
      </c>
      <c r="K27" s="10">
        <v>0</v>
      </c>
      <c r="L27" s="12">
        <f t="shared" si="3"/>
        <v>0</v>
      </c>
    </row>
    <row r="28" spans="2:12" ht="15.75">
      <c r="B28" s="26">
        <v>45292</v>
      </c>
      <c r="C28" s="18" t="s">
        <v>30</v>
      </c>
      <c r="D28" s="10">
        <v>0</v>
      </c>
      <c r="E28" s="11">
        <f t="shared" si="0"/>
        <v>26.121000000000002</v>
      </c>
      <c r="F28" s="11">
        <v>0</v>
      </c>
      <c r="G28" s="33">
        <f t="shared" si="1"/>
        <v>0</v>
      </c>
      <c r="H28" s="17" t="s">
        <v>35</v>
      </c>
      <c r="I28" s="10">
        <f>MIN((6*D14),(D3))-I25-I22</f>
        <v>15.666</v>
      </c>
      <c r="J28" s="10">
        <f t="shared" si="2"/>
        <v>66.16000000000001</v>
      </c>
      <c r="K28" s="10">
        <v>0</v>
      </c>
      <c r="L28" s="12">
        <f t="shared" si="3"/>
        <v>0</v>
      </c>
    </row>
    <row r="29" spans="2:12" ht="15.75">
      <c r="B29" s="26">
        <v>45323</v>
      </c>
      <c r="C29" s="17" t="s">
        <v>22</v>
      </c>
      <c r="D29" s="10">
        <v>0</v>
      </c>
      <c r="E29" s="11">
        <f t="shared" si="0"/>
        <v>26.121000000000002</v>
      </c>
      <c r="F29" s="11">
        <v>0</v>
      </c>
      <c r="G29" s="33">
        <f t="shared" si="1"/>
        <v>0</v>
      </c>
      <c r="H29" s="17" t="s">
        <v>22</v>
      </c>
      <c r="I29" s="10">
        <v>0</v>
      </c>
      <c r="J29" s="10">
        <f t="shared" si="2"/>
        <v>66.16000000000001</v>
      </c>
      <c r="K29" s="10">
        <v>0</v>
      </c>
      <c r="L29" s="12">
        <f t="shared" si="3"/>
        <v>0</v>
      </c>
    </row>
    <row r="30" spans="2:12" ht="15.75">
      <c r="B30" s="26">
        <v>45352</v>
      </c>
      <c r="C30" s="18" t="s">
        <v>30</v>
      </c>
      <c r="D30" s="10">
        <v>0</v>
      </c>
      <c r="E30" s="11">
        <f t="shared" si="0"/>
        <v>26.121000000000002</v>
      </c>
      <c r="F30" s="11">
        <v>0</v>
      </c>
      <c r="G30" s="33">
        <f t="shared" si="1"/>
        <v>0</v>
      </c>
      <c r="H30" s="17" t="s">
        <v>36</v>
      </c>
      <c r="I30" s="10">
        <v>0</v>
      </c>
      <c r="J30" s="10">
        <f t="shared" si="2"/>
        <v>66.16000000000001</v>
      </c>
      <c r="K30" s="10">
        <v>0</v>
      </c>
      <c r="L30" s="12">
        <f t="shared" si="3"/>
        <v>0</v>
      </c>
    </row>
    <row r="31" spans="2:12" ht="15.75">
      <c r="B31" s="26">
        <v>45413</v>
      </c>
      <c r="C31" s="18" t="s">
        <v>30</v>
      </c>
      <c r="D31" s="10">
        <v>0</v>
      </c>
      <c r="E31" s="11">
        <f t="shared" si="0"/>
        <v>26.121000000000002</v>
      </c>
      <c r="F31" s="11">
        <v>0</v>
      </c>
      <c r="G31" s="33">
        <f t="shared" si="1"/>
        <v>0</v>
      </c>
      <c r="H31" s="17" t="s">
        <v>37</v>
      </c>
      <c r="I31" s="10">
        <f>-I22-I25-I28-I27</f>
        <v>-40.039</v>
      </c>
      <c r="J31" s="10">
        <f t="shared" si="2"/>
        <v>26.12100000000001</v>
      </c>
      <c r="K31" s="10">
        <v>0</v>
      </c>
      <c r="L31" s="12">
        <f t="shared" si="3"/>
        <v>0</v>
      </c>
    </row>
    <row r="32" spans="2:12" ht="15.75">
      <c r="B32" s="26">
        <v>45444</v>
      </c>
      <c r="C32" s="17" t="s">
        <v>23</v>
      </c>
      <c r="D32" s="10">
        <v>0</v>
      </c>
      <c r="E32" s="11">
        <f t="shared" si="0"/>
        <v>26.121000000000002</v>
      </c>
      <c r="F32" s="11">
        <v>0</v>
      </c>
      <c r="G32" s="33">
        <f t="shared" si="1"/>
        <v>0</v>
      </c>
      <c r="H32" s="17" t="s">
        <v>23</v>
      </c>
      <c r="I32" s="10">
        <v>0</v>
      </c>
      <c r="J32" s="10">
        <f t="shared" si="2"/>
        <v>26.12100000000001</v>
      </c>
      <c r="K32" s="10">
        <v>0</v>
      </c>
      <c r="L32" s="12">
        <f t="shared" si="3"/>
        <v>0</v>
      </c>
    </row>
    <row r="33" spans="2:12" ht="15.75">
      <c r="B33" s="26">
        <v>45474</v>
      </c>
      <c r="C33" s="17" t="s">
        <v>24</v>
      </c>
      <c r="D33" s="10">
        <f>D13</f>
        <v>8.707</v>
      </c>
      <c r="E33" s="11">
        <f t="shared" si="0"/>
        <v>34.828</v>
      </c>
      <c r="F33" s="11">
        <v>0</v>
      </c>
      <c r="G33" s="33">
        <f t="shared" si="1"/>
        <v>0</v>
      </c>
      <c r="H33" s="18" t="s">
        <v>30</v>
      </c>
      <c r="I33" s="10">
        <v>0</v>
      </c>
      <c r="J33" s="10">
        <f t="shared" si="2"/>
        <v>26.12100000000001</v>
      </c>
      <c r="K33" s="10">
        <v>0</v>
      </c>
      <c r="L33" s="12">
        <f t="shared" si="3"/>
        <v>0</v>
      </c>
    </row>
    <row r="34" spans="2:12" ht="15.75">
      <c r="B34" s="26">
        <v>45536</v>
      </c>
      <c r="C34" s="18" t="s">
        <v>30</v>
      </c>
      <c r="D34" s="10">
        <v>0</v>
      </c>
      <c r="E34" s="11">
        <f t="shared" si="0"/>
        <v>34.828</v>
      </c>
      <c r="F34" s="11">
        <v>0</v>
      </c>
      <c r="G34" s="33">
        <f t="shared" si="1"/>
        <v>0</v>
      </c>
      <c r="H34" s="17" t="s">
        <v>24</v>
      </c>
      <c r="I34" s="10">
        <f>D4</f>
        <v>7.833</v>
      </c>
      <c r="J34" s="10">
        <f t="shared" si="2"/>
        <v>33.95400000000001</v>
      </c>
      <c r="K34" s="10">
        <v>0</v>
      </c>
      <c r="L34" s="12">
        <f t="shared" si="3"/>
        <v>0</v>
      </c>
    </row>
    <row r="35" spans="2:12" ht="15.75">
      <c r="B35" s="26">
        <v>45627</v>
      </c>
      <c r="C35" s="18" t="s">
        <v>30</v>
      </c>
      <c r="D35" s="10">
        <v>0</v>
      </c>
      <c r="E35" s="11">
        <f t="shared" si="0"/>
        <v>34.828</v>
      </c>
      <c r="F35" s="11">
        <v>0</v>
      </c>
      <c r="G35" s="33">
        <f t="shared" si="1"/>
        <v>0</v>
      </c>
      <c r="H35" s="17" t="s">
        <v>42</v>
      </c>
      <c r="I35" s="10">
        <f>K35</f>
        <v>-7.833</v>
      </c>
      <c r="J35" s="10">
        <f t="shared" si="2"/>
        <v>26.12100000000001</v>
      </c>
      <c r="K35" s="10">
        <f>-I34</f>
        <v>-7.833</v>
      </c>
      <c r="L35" s="12">
        <f t="shared" si="3"/>
        <v>-7.833</v>
      </c>
    </row>
    <row r="36" spans="2:12" ht="15.75">
      <c r="B36" s="26">
        <v>45627</v>
      </c>
      <c r="C36" s="18" t="s">
        <v>30</v>
      </c>
      <c r="D36" s="10">
        <v>0</v>
      </c>
      <c r="E36" s="11">
        <f t="shared" si="0"/>
        <v>34.828</v>
      </c>
      <c r="F36" s="11">
        <v>0</v>
      </c>
      <c r="G36" s="33">
        <f t="shared" si="1"/>
        <v>0</v>
      </c>
      <c r="H36" s="17" t="s">
        <v>26</v>
      </c>
      <c r="I36" s="10">
        <f>D5</f>
        <v>7.833</v>
      </c>
      <c r="J36" s="10">
        <f t="shared" si="2"/>
        <v>33.95400000000001</v>
      </c>
      <c r="K36" s="10">
        <v>0</v>
      </c>
      <c r="L36" s="12">
        <f t="shared" si="3"/>
        <v>-7.833</v>
      </c>
    </row>
    <row r="37" spans="2:12" ht="15.75">
      <c r="B37" s="26">
        <v>45627</v>
      </c>
      <c r="C37" s="17" t="s">
        <v>25</v>
      </c>
      <c r="D37" s="10">
        <v>0</v>
      </c>
      <c r="E37" s="11">
        <f>D37+E33</f>
        <v>34.828</v>
      </c>
      <c r="F37" s="11">
        <v>0</v>
      </c>
      <c r="G37" s="33">
        <f t="shared" si="1"/>
        <v>0</v>
      </c>
      <c r="H37" s="17" t="s">
        <v>25</v>
      </c>
      <c r="I37" s="10">
        <v>0</v>
      </c>
      <c r="J37" s="10">
        <f t="shared" si="2"/>
        <v>33.95400000000001</v>
      </c>
      <c r="K37" s="10">
        <v>0</v>
      </c>
      <c r="L37" s="12">
        <f t="shared" si="3"/>
        <v>-7.833</v>
      </c>
    </row>
    <row r="38" spans="2:12" ht="15.75">
      <c r="B38" s="26">
        <v>45627</v>
      </c>
      <c r="C38" s="17" t="s">
        <v>52</v>
      </c>
      <c r="D38" s="10">
        <v>0</v>
      </c>
      <c r="E38" s="11">
        <f aca="true" t="shared" si="4" ref="E38:E39">D38+E34</f>
        <v>34.828</v>
      </c>
      <c r="F38" s="11">
        <v>0</v>
      </c>
      <c r="G38" s="33">
        <f t="shared" si="1"/>
        <v>0</v>
      </c>
      <c r="H38" s="17" t="s">
        <v>52</v>
      </c>
      <c r="I38" s="10">
        <v>0</v>
      </c>
      <c r="J38" s="10">
        <f t="shared" si="2"/>
        <v>33.95400000000001</v>
      </c>
      <c r="K38" s="10">
        <v>0</v>
      </c>
      <c r="L38" s="12">
        <f t="shared" si="3"/>
        <v>-7.833</v>
      </c>
    </row>
    <row r="39" spans="2:12" ht="15.75">
      <c r="B39" s="26">
        <v>45689</v>
      </c>
      <c r="C39" s="17" t="s">
        <v>53</v>
      </c>
      <c r="D39" s="10">
        <f>-E38</f>
        <v>-34.828</v>
      </c>
      <c r="E39" s="11">
        <f t="shared" si="4"/>
        <v>0</v>
      </c>
      <c r="F39" s="11">
        <v>0</v>
      </c>
      <c r="G39" s="33">
        <f t="shared" si="1"/>
        <v>0</v>
      </c>
      <c r="H39" s="18" t="s">
        <v>54</v>
      </c>
      <c r="I39" s="10">
        <f>-I36</f>
        <v>-7.833</v>
      </c>
      <c r="J39" s="10">
        <f t="shared" si="2"/>
        <v>26.12100000000001</v>
      </c>
      <c r="K39" s="10">
        <v>0</v>
      </c>
      <c r="L39" s="12">
        <f t="shared" si="3"/>
        <v>-7.833</v>
      </c>
    </row>
    <row r="40" spans="2:12" ht="17" thickBot="1">
      <c r="B40" s="27">
        <v>45689</v>
      </c>
      <c r="C40" s="32" t="s">
        <v>30</v>
      </c>
      <c r="D40" s="14">
        <v>0</v>
      </c>
      <c r="E40" s="15">
        <f>E39+D40</f>
        <v>0</v>
      </c>
      <c r="F40" s="15">
        <v>0</v>
      </c>
      <c r="G40" s="34">
        <f aca="true" t="shared" si="5" ref="G40">F40+G39</f>
        <v>0</v>
      </c>
      <c r="H40" s="19" t="s">
        <v>51</v>
      </c>
      <c r="I40" s="14">
        <f>-I18-I19-I21-I24</f>
        <v>-26.121000000000002</v>
      </c>
      <c r="J40" s="14">
        <f t="shared" si="2"/>
        <v>0</v>
      </c>
      <c r="K40" s="14">
        <v>0</v>
      </c>
      <c r="L40" s="16">
        <f t="shared" si="3"/>
        <v>-7.833</v>
      </c>
    </row>
    <row r="41" spans="2:12" ht="15.75">
      <c r="B41" s="4"/>
      <c r="C41" s="17"/>
      <c r="D41" s="9"/>
      <c r="E41" s="9"/>
      <c r="F41" s="9"/>
      <c r="G41" s="9"/>
      <c r="H41" s="17"/>
      <c r="I41" s="9"/>
      <c r="J41" s="9"/>
      <c r="K41" s="9"/>
      <c r="L41" s="20"/>
    </row>
    <row r="42" spans="3:12" ht="15.75">
      <c r="C42" s="17"/>
      <c r="D42" s="9"/>
      <c r="E42" s="9"/>
      <c r="F42" s="9"/>
      <c r="G42" s="9"/>
      <c r="H42" s="17"/>
      <c r="I42" s="9"/>
      <c r="J42" s="9"/>
      <c r="K42" s="9"/>
      <c r="L42" s="20"/>
    </row>
    <row r="43" spans="3:12" ht="15.75">
      <c r="C43" s="17"/>
      <c r="D43" s="21" t="s">
        <v>50</v>
      </c>
      <c r="E43" s="9">
        <f>MAX(E18:E40)</f>
        <v>34.828</v>
      </c>
      <c r="F43" s="9"/>
      <c r="G43" s="9"/>
      <c r="H43" s="17"/>
      <c r="I43" s="21" t="s">
        <v>27</v>
      </c>
      <c r="J43" s="9">
        <f>MAX(J18:J40)</f>
        <v>66.16000000000001</v>
      </c>
      <c r="K43" s="9"/>
      <c r="L43" s="20"/>
    </row>
    <row r="44" spans="3:12" ht="15.75">
      <c r="C44" s="17"/>
      <c r="D44" s="21" t="s">
        <v>28</v>
      </c>
      <c r="E44" s="22">
        <f>E43/D3</f>
        <v>1.111579216136857</v>
      </c>
      <c r="F44" s="9"/>
      <c r="G44" s="9"/>
      <c r="H44" s="17"/>
      <c r="I44" s="21" t="s">
        <v>28</v>
      </c>
      <c r="J44" s="22">
        <f>J43/D3</f>
        <v>2.111579216136857</v>
      </c>
      <c r="K44" s="9"/>
      <c r="L44" s="20"/>
    </row>
    <row r="45" spans="3:12" ht="15.75">
      <c r="C45" s="17"/>
      <c r="D45" s="21" t="s">
        <v>72</v>
      </c>
      <c r="E45" s="11">
        <f>G40</f>
        <v>0</v>
      </c>
      <c r="F45" s="9"/>
      <c r="G45" s="9"/>
      <c r="H45" s="17"/>
      <c r="I45" s="21" t="s">
        <v>72</v>
      </c>
      <c r="J45" s="11">
        <f>-L40</f>
        <v>7.833</v>
      </c>
      <c r="K45" s="9"/>
      <c r="L45" s="20"/>
    </row>
    <row r="46" spans="3:12" ht="17" thickBot="1">
      <c r="C46" s="19"/>
      <c r="D46" s="23" t="s">
        <v>29</v>
      </c>
      <c r="E46" s="24">
        <f>E45/D3</f>
        <v>0</v>
      </c>
      <c r="F46" s="13"/>
      <c r="G46" s="13"/>
      <c r="H46" s="19"/>
      <c r="I46" s="23" t="s">
        <v>29</v>
      </c>
      <c r="J46" s="24">
        <f>J45/D3</f>
        <v>0.25</v>
      </c>
      <c r="K46" s="13"/>
      <c r="L46" s="25"/>
    </row>
    <row r="47" spans="8:12" ht="15.75">
      <c r="H47" s="9"/>
      <c r="I47" s="9"/>
      <c r="J47" s="9"/>
      <c r="K47" s="9"/>
      <c r="L47" s="9"/>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4BB05-4834-FC40-8EB4-B660C5EB2B30}">
  <dimension ref="A1:L62"/>
  <sheetViews>
    <sheetView workbookViewId="0" topLeftCell="A1">
      <selection activeCell="A3" sqref="A3:D11"/>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81</v>
      </c>
    </row>
    <row r="2" ht="17" thickBot="1"/>
    <row r="3" spans="1:4" ht="17" thickBot="1">
      <c r="A3" s="39" t="s">
        <v>66</v>
      </c>
      <c r="B3" s="40"/>
      <c r="C3" s="40"/>
      <c r="D3" s="41">
        <f>12*Assumptions!C2*Assumptions!C16</f>
        <v>31.332</v>
      </c>
    </row>
    <row r="4" spans="1:4" ht="15.75">
      <c r="A4" s="42" t="s">
        <v>67</v>
      </c>
      <c r="B4" s="43"/>
      <c r="C4" s="43"/>
      <c r="D4" s="44">
        <f>Assumptions!C2*Assumptions!C16*3</f>
        <v>7.833</v>
      </c>
    </row>
    <row r="5" spans="1:4" ht="15.75">
      <c r="A5" s="45" t="s">
        <v>68</v>
      </c>
      <c r="B5" s="38"/>
      <c r="C5" s="38"/>
      <c r="D5" s="46">
        <f>Assumptions!C2*Assumptions!C16*3</f>
        <v>7.833</v>
      </c>
    </row>
    <row r="6" spans="1:5" ht="15.75">
      <c r="A6" s="45" t="s">
        <v>69</v>
      </c>
      <c r="B6" s="38"/>
      <c r="C6" s="38"/>
      <c r="D6" s="46">
        <f>Assumptions!C2*Assumptions!C16*3</f>
        <v>7.833</v>
      </c>
      <c r="E6" s="5"/>
    </row>
    <row r="7" spans="1:5" ht="17" thickBot="1">
      <c r="A7" s="47" t="s">
        <v>70</v>
      </c>
      <c r="B7" s="48"/>
      <c r="C7" s="48"/>
      <c r="D7" s="49">
        <f>Assumptions!C2*Assumptions!C16*3</f>
        <v>7.833</v>
      </c>
      <c r="E7" s="5"/>
    </row>
    <row r="8" spans="1:5" ht="15.75">
      <c r="A8" s="42" t="s">
        <v>38</v>
      </c>
      <c r="B8" s="43"/>
      <c r="C8" s="43"/>
      <c r="D8" s="44">
        <f>Assumptions!C2*Assumptions!C22*3</f>
        <v>7.773000000000001</v>
      </c>
      <c r="E8" s="5"/>
    </row>
    <row r="9" spans="1:5" ht="15.75">
      <c r="A9" s="45" t="s">
        <v>39</v>
      </c>
      <c r="B9" s="38"/>
      <c r="C9" s="38"/>
      <c r="D9" s="46">
        <f>Assumptions!C2*Assumptions!C22*3</f>
        <v>7.773000000000001</v>
      </c>
      <c r="E9" s="5"/>
    </row>
    <row r="10" spans="1:5" ht="15.75">
      <c r="A10" s="45" t="s">
        <v>40</v>
      </c>
      <c r="B10" s="38"/>
      <c r="C10" s="38"/>
      <c r="D10" s="46">
        <f>Assumptions!C2*Assumptions!C22*3</f>
        <v>7.773000000000001</v>
      </c>
      <c r="E10" s="5"/>
    </row>
    <row r="11" spans="1:5" ht="17" thickBot="1">
      <c r="A11" s="47" t="s">
        <v>41</v>
      </c>
      <c r="B11" s="48"/>
      <c r="C11" s="48"/>
      <c r="D11" s="49">
        <f>Assumptions!C2*Assumptions!C22*3</f>
        <v>7.773000000000001</v>
      </c>
      <c r="E11" s="5"/>
    </row>
    <row r="12" ht="15.75">
      <c r="D12" s="5"/>
    </row>
    <row r="13" spans="1:4" ht="15.75">
      <c r="A13" t="s">
        <v>32</v>
      </c>
      <c r="D13" s="5">
        <f>Assumptions!C14</f>
        <v>8.707</v>
      </c>
    </row>
    <row r="14" spans="1:4" ht="15.75">
      <c r="A14" t="s">
        <v>31</v>
      </c>
      <c r="D14" s="5">
        <f>MIN(D13,(D3/3))</f>
        <v>8.707</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6.707000000000001</v>
      </c>
      <c r="J19" s="10">
        <f>J18+I19</f>
        <v>8.707</v>
      </c>
      <c r="K19" s="10">
        <v>0</v>
      </c>
      <c r="L19" s="12">
        <f>K19+L18</f>
        <v>0</v>
      </c>
    </row>
    <row r="20" spans="2:12" ht="15.75">
      <c r="B20" s="26">
        <v>44228</v>
      </c>
      <c r="C20" s="17" t="s">
        <v>75</v>
      </c>
      <c r="D20" s="10">
        <v>0</v>
      </c>
      <c r="E20" s="11">
        <f aca="true" t="shared" si="0" ref="E20:E55">D20+E19</f>
        <v>8.707</v>
      </c>
      <c r="F20" s="11">
        <v>0</v>
      </c>
      <c r="G20" s="33">
        <f aca="true" t="shared" si="1" ref="G20:G55">F20+G19</f>
        <v>0</v>
      </c>
      <c r="H20" s="17" t="s">
        <v>75</v>
      </c>
      <c r="I20" s="10">
        <v>0</v>
      </c>
      <c r="J20" s="10">
        <f aca="true" t="shared" si="2" ref="J20:J55">J19+I20</f>
        <v>8.707</v>
      </c>
      <c r="K20" s="10">
        <v>0</v>
      </c>
      <c r="L20" s="12">
        <f aca="true" t="shared" si="3" ref="L20:L55">K20+L19</f>
        <v>0</v>
      </c>
    </row>
    <row r="21" spans="2:12" ht="15.75">
      <c r="B21" s="26">
        <v>44562</v>
      </c>
      <c r="C21" s="17" t="s">
        <v>17</v>
      </c>
      <c r="D21" s="10">
        <f>D13</f>
        <v>8.707</v>
      </c>
      <c r="E21" s="11">
        <f t="shared" si="0"/>
        <v>17.414</v>
      </c>
      <c r="F21" s="11">
        <v>0</v>
      </c>
      <c r="G21" s="33">
        <f t="shared" si="1"/>
        <v>0</v>
      </c>
      <c r="H21" s="17" t="s">
        <v>17</v>
      </c>
      <c r="I21" s="10">
        <f>D14</f>
        <v>8.707</v>
      </c>
      <c r="J21" s="10">
        <f t="shared" si="2"/>
        <v>17.414</v>
      </c>
      <c r="K21" s="10">
        <v>0</v>
      </c>
      <c r="L21" s="12">
        <f t="shared" si="3"/>
        <v>0</v>
      </c>
    </row>
    <row r="22" spans="2:12" ht="15.75">
      <c r="B22" s="26">
        <v>44562</v>
      </c>
      <c r="C22" s="18" t="s">
        <v>30</v>
      </c>
      <c r="D22" s="10">
        <v>0</v>
      </c>
      <c r="E22" s="11">
        <f t="shared" si="0"/>
        <v>17.414</v>
      </c>
      <c r="F22" s="11">
        <v>0</v>
      </c>
      <c r="G22" s="33">
        <f t="shared" si="1"/>
        <v>0</v>
      </c>
      <c r="H22" s="17" t="s">
        <v>33</v>
      </c>
      <c r="I22" s="10">
        <f>MIN((1*D14),(D3/6))</f>
        <v>5.222</v>
      </c>
      <c r="J22" s="10">
        <f t="shared" si="2"/>
        <v>22.636000000000003</v>
      </c>
      <c r="K22" s="10">
        <v>0</v>
      </c>
      <c r="L22" s="12">
        <f t="shared" si="3"/>
        <v>0</v>
      </c>
    </row>
    <row r="23" spans="2:12" ht="15.75">
      <c r="B23" s="26">
        <v>44593</v>
      </c>
      <c r="C23" s="17" t="s">
        <v>16</v>
      </c>
      <c r="D23" s="10">
        <v>0</v>
      </c>
      <c r="E23" s="11">
        <f t="shared" si="0"/>
        <v>17.414</v>
      </c>
      <c r="F23" s="11">
        <v>0</v>
      </c>
      <c r="G23" s="33">
        <f t="shared" si="1"/>
        <v>0</v>
      </c>
      <c r="H23" s="17" t="s">
        <v>16</v>
      </c>
      <c r="I23" s="10">
        <v>0</v>
      </c>
      <c r="J23" s="10">
        <f t="shared" si="2"/>
        <v>22.636000000000003</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8.707</v>
      </c>
      <c r="J24" s="10">
        <f t="shared" si="2"/>
        <v>31.343000000000004</v>
      </c>
      <c r="K24" s="10">
        <v>0</v>
      </c>
      <c r="L24" s="12">
        <f t="shared" si="3"/>
        <v>0</v>
      </c>
    </row>
    <row r="25" spans="2:12" ht="15.75">
      <c r="B25" s="26">
        <v>44927</v>
      </c>
      <c r="C25" s="18" t="s">
        <v>30</v>
      </c>
      <c r="D25" s="10">
        <v>0</v>
      </c>
      <c r="E25" s="11">
        <f t="shared" si="0"/>
        <v>26.121000000000002</v>
      </c>
      <c r="F25" s="11">
        <v>0</v>
      </c>
      <c r="G25" s="33">
        <f t="shared" si="1"/>
        <v>0</v>
      </c>
      <c r="H25" s="17" t="s">
        <v>34</v>
      </c>
      <c r="I25" s="10">
        <f>MIN((3*D14),(D3/2))-I22</f>
        <v>10.443999999999999</v>
      </c>
      <c r="J25" s="10">
        <f t="shared" si="2"/>
        <v>41.787000000000006</v>
      </c>
      <c r="K25" s="10">
        <v>0</v>
      </c>
      <c r="L25" s="12">
        <f t="shared" si="3"/>
        <v>0</v>
      </c>
    </row>
    <row r="26" spans="2:12" ht="15.75">
      <c r="B26" s="26">
        <v>44958</v>
      </c>
      <c r="C26" s="17" t="s">
        <v>18</v>
      </c>
      <c r="D26" s="10">
        <v>0</v>
      </c>
      <c r="E26" s="11">
        <f t="shared" si="0"/>
        <v>26.121000000000002</v>
      </c>
      <c r="F26" s="11">
        <v>0</v>
      </c>
      <c r="G26" s="33">
        <f t="shared" si="1"/>
        <v>0</v>
      </c>
      <c r="H26" s="17" t="s">
        <v>18</v>
      </c>
      <c r="I26" s="10">
        <v>0</v>
      </c>
      <c r="J26" s="10">
        <f t="shared" si="2"/>
        <v>41.787000000000006</v>
      </c>
      <c r="K26" s="10">
        <v>0</v>
      </c>
      <c r="L26" s="12">
        <f t="shared" si="3"/>
        <v>0</v>
      </c>
    </row>
    <row r="27" spans="2:12" ht="15.75">
      <c r="B27" s="26">
        <v>45292</v>
      </c>
      <c r="C27" s="18" t="s">
        <v>30</v>
      </c>
      <c r="D27" s="10">
        <v>0</v>
      </c>
      <c r="E27" s="11">
        <f t="shared" si="0"/>
        <v>26.121000000000002</v>
      </c>
      <c r="F27" s="11">
        <v>0</v>
      </c>
      <c r="G27" s="33">
        <f t="shared" si="1"/>
        <v>0</v>
      </c>
      <c r="H27" s="17" t="s">
        <v>21</v>
      </c>
      <c r="I27" s="10">
        <f>D14</f>
        <v>8.707</v>
      </c>
      <c r="J27" s="10">
        <f t="shared" si="2"/>
        <v>50.49400000000001</v>
      </c>
      <c r="K27" s="10">
        <v>0</v>
      </c>
      <c r="L27" s="12">
        <f t="shared" si="3"/>
        <v>0</v>
      </c>
    </row>
    <row r="28" spans="2:12" ht="15.75">
      <c r="B28" s="26">
        <v>45292</v>
      </c>
      <c r="C28" s="18" t="s">
        <v>30</v>
      </c>
      <c r="D28" s="10">
        <v>0</v>
      </c>
      <c r="E28" s="11">
        <f t="shared" si="0"/>
        <v>26.121000000000002</v>
      </c>
      <c r="F28" s="11">
        <v>0</v>
      </c>
      <c r="G28" s="33">
        <f t="shared" si="1"/>
        <v>0</v>
      </c>
      <c r="H28" s="17" t="s">
        <v>35</v>
      </c>
      <c r="I28" s="10">
        <f>MIN((6*D14),(D3))-I25-I22</f>
        <v>15.666</v>
      </c>
      <c r="J28" s="10">
        <f t="shared" si="2"/>
        <v>66.16000000000001</v>
      </c>
      <c r="K28" s="10">
        <v>0</v>
      </c>
      <c r="L28" s="12">
        <f t="shared" si="3"/>
        <v>0</v>
      </c>
    </row>
    <row r="29" spans="2:12" ht="15.75">
      <c r="B29" s="26">
        <v>45323</v>
      </c>
      <c r="C29" s="17" t="s">
        <v>20</v>
      </c>
      <c r="D29" s="10">
        <v>0</v>
      </c>
      <c r="E29" s="11">
        <f t="shared" si="0"/>
        <v>26.121000000000002</v>
      </c>
      <c r="F29" s="11">
        <v>0</v>
      </c>
      <c r="G29" s="33">
        <f t="shared" si="1"/>
        <v>0</v>
      </c>
      <c r="H29" s="17" t="s">
        <v>20</v>
      </c>
      <c r="I29" s="10">
        <v>0</v>
      </c>
      <c r="J29" s="10">
        <f t="shared" si="2"/>
        <v>66.16000000000001</v>
      </c>
      <c r="K29" s="10">
        <v>0</v>
      </c>
      <c r="L29" s="12">
        <f t="shared" si="3"/>
        <v>0</v>
      </c>
    </row>
    <row r="30" spans="2:12" ht="15.75">
      <c r="B30" s="26">
        <v>45444</v>
      </c>
      <c r="C30" s="17" t="s">
        <v>23</v>
      </c>
      <c r="D30" s="10">
        <v>0</v>
      </c>
      <c r="E30" s="11">
        <f t="shared" si="0"/>
        <v>26.121000000000002</v>
      </c>
      <c r="F30" s="11">
        <v>0</v>
      </c>
      <c r="G30" s="33">
        <f t="shared" si="1"/>
        <v>0</v>
      </c>
      <c r="H30" s="17" t="s">
        <v>23</v>
      </c>
      <c r="I30" s="10">
        <v>0</v>
      </c>
      <c r="J30" s="10">
        <f t="shared" si="2"/>
        <v>66.16000000000001</v>
      </c>
      <c r="K30" s="10">
        <v>0</v>
      </c>
      <c r="L30" s="12">
        <f t="shared" si="3"/>
        <v>0</v>
      </c>
    </row>
    <row r="31" spans="2:12" ht="15.75">
      <c r="B31" s="26">
        <v>45474</v>
      </c>
      <c r="C31" s="17" t="s">
        <v>24</v>
      </c>
      <c r="D31" s="10">
        <f>D13</f>
        <v>8.707</v>
      </c>
      <c r="E31" s="11">
        <f t="shared" si="0"/>
        <v>34.828</v>
      </c>
      <c r="F31" s="11">
        <v>0</v>
      </c>
      <c r="G31" s="33">
        <f t="shared" si="1"/>
        <v>0</v>
      </c>
      <c r="H31" s="18" t="s">
        <v>30</v>
      </c>
      <c r="I31" s="10">
        <v>0</v>
      </c>
      <c r="J31" s="10">
        <f t="shared" si="2"/>
        <v>66.16000000000001</v>
      </c>
      <c r="K31" s="10">
        <v>0</v>
      </c>
      <c r="L31" s="12">
        <f t="shared" si="3"/>
        <v>0</v>
      </c>
    </row>
    <row r="32" spans="2:12" ht="15.75">
      <c r="B32" s="26">
        <v>45536</v>
      </c>
      <c r="C32" s="18" t="s">
        <v>30</v>
      </c>
      <c r="D32" s="10">
        <v>0</v>
      </c>
      <c r="E32" s="11">
        <f t="shared" si="0"/>
        <v>34.828</v>
      </c>
      <c r="F32" s="11">
        <v>0</v>
      </c>
      <c r="G32" s="33">
        <f t="shared" si="1"/>
        <v>0</v>
      </c>
      <c r="H32" s="17" t="s">
        <v>24</v>
      </c>
      <c r="I32" s="10">
        <f>D4</f>
        <v>7.833</v>
      </c>
      <c r="J32" s="10">
        <f t="shared" si="2"/>
        <v>73.99300000000001</v>
      </c>
      <c r="K32" s="10">
        <v>0</v>
      </c>
      <c r="L32" s="12">
        <f t="shared" si="3"/>
        <v>0</v>
      </c>
    </row>
    <row r="33" spans="2:12" ht="15.75">
      <c r="B33" s="26">
        <v>45627</v>
      </c>
      <c r="C33" s="18" t="s">
        <v>30</v>
      </c>
      <c r="D33" s="10">
        <v>0</v>
      </c>
      <c r="E33" s="11">
        <f t="shared" si="0"/>
        <v>34.828</v>
      </c>
      <c r="F33" s="11">
        <v>0</v>
      </c>
      <c r="G33" s="33">
        <f t="shared" si="1"/>
        <v>0</v>
      </c>
      <c r="H33" s="17" t="s">
        <v>42</v>
      </c>
      <c r="I33" s="10">
        <f>K33</f>
        <v>-7.833</v>
      </c>
      <c r="J33" s="10">
        <f t="shared" si="2"/>
        <v>66.16000000000001</v>
      </c>
      <c r="K33" s="10">
        <f>-I32</f>
        <v>-7.833</v>
      </c>
      <c r="L33" s="12">
        <f t="shared" si="3"/>
        <v>-7.833</v>
      </c>
    </row>
    <row r="34" spans="2:12" ht="15.75">
      <c r="B34" s="26">
        <v>45627</v>
      </c>
      <c r="C34" s="18" t="s">
        <v>30</v>
      </c>
      <c r="D34" s="10">
        <v>0</v>
      </c>
      <c r="E34" s="11">
        <f t="shared" si="0"/>
        <v>34.828</v>
      </c>
      <c r="F34" s="11">
        <v>0</v>
      </c>
      <c r="G34" s="33">
        <f t="shared" si="1"/>
        <v>0</v>
      </c>
      <c r="H34" s="17" t="s">
        <v>26</v>
      </c>
      <c r="I34" s="10">
        <f>D5</f>
        <v>7.833</v>
      </c>
      <c r="J34" s="10">
        <f t="shared" si="2"/>
        <v>73.99300000000001</v>
      </c>
      <c r="K34" s="10">
        <v>0</v>
      </c>
      <c r="L34" s="12">
        <f t="shared" si="3"/>
        <v>-7.833</v>
      </c>
    </row>
    <row r="35" spans="2:12" ht="15.75">
      <c r="B35" s="26">
        <v>45658</v>
      </c>
      <c r="C35" s="18" t="s">
        <v>26</v>
      </c>
      <c r="D35" s="10">
        <f>D13</f>
        <v>8.707</v>
      </c>
      <c r="E35" s="11">
        <f t="shared" si="0"/>
        <v>43.535000000000004</v>
      </c>
      <c r="F35" s="11">
        <v>0</v>
      </c>
      <c r="G35" s="33">
        <f t="shared" si="1"/>
        <v>0</v>
      </c>
      <c r="H35" s="18" t="s">
        <v>30</v>
      </c>
      <c r="I35" s="10">
        <v>0</v>
      </c>
      <c r="J35" s="10">
        <f t="shared" si="2"/>
        <v>73.99300000000001</v>
      </c>
      <c r="K35" s="10">
        <v>0</v>
      </c>
      <c r="L35" s="12">
        <f t="shared" si="3"/>
        <v>-7.833</v>
      </c>
    </row>
    <row r="36" spans="2:12" ht="15.75">
      <c r="B36" s="26">
        <v>45689</v>
      </c>
      <c r="C36" s="18" t="s">
        <v>22</v>
      </c>
      <c r="D36" s="10">
        <v>0</v>
      </c>
      <c r="E36" s="11">
        <f t="shared" si="0"/>
        <v>43.535000000000004</v>
      </c>
      <c r="F36" s="11">
        <v>0</v>
      </c>
      <c r="G36" s="33">
        <f t="shared" si="1"/>
        <v>0</v>
      </c>
      <c r="H36" s="18" t="s">
        <v>22</v>
      </c>
      <c r="I36" s="10">
        <v>0</v>
      </c>
      <c r="J36" s="10">
        <f t="shared" si="2"/>
        <v>73.99300000000001</v>
      </c>
      <c r="K36" s="11">
        <v>0</v>
      </c>
      <c r="L36" s="12">
        <f t="shared" si="3"/>
        <v>-7.833</v>
      </c>
    </row>
    <row r="37" spans="2:12" ht="15.75">
      <c r="B37" s="26">
        <v>45717</v>
      </c>
      <c r="C37" s="18" t="s">
        <v>30</v>
      </c>
      <c r="D37" s="10">
        <v>0</v>
      </c>
      <c r="E37" s="11">
        <f t="shared" si="0"/>
        <v>43.535000000000004</v>
      </c>
      <c r="F37" s="11">
        <v>0</v>
      </c>
      <c r="G37" s="33">
        <f t="shared" si="1"/>
        <v>0</v>
      </c>
      <c r="H37" s="17" t="s">
        <v>57</v>
      </c>
      <c r="I37" s="10">
        <f>K37</f>
        <v>-7.833</v>
      </c>
      <c r="J37" s="10">
        <f t="shared" si="2"/>
        <v>66.16000000000001</v>
      </c>
      <c r="K37" s="10">
        <f>-I34</f>
        <v>-7.833</v>
      </c>
      <c r="L37" s="12">
        <f t="shared" si="3"/>
        <v>-15.666</v>
      </c>
    </row>
    <row r="38" spans="2:12" ht="15.75">
      <c r="B38" s="26">
        <v>45717</v>
      </c>
      <c r="C38" s="18" t="s">
        <v>30</v>
      </c>
      <c r="D38" s="10">
        <v>0</v>
      </c>
      <c r="E38" s="11">
        <f t="shared" si="0"/>
        <v>43.535000000000004</v>
      </c>
      <c r="F38" s="11">
        <v>0</v>
      </c>
      <c r="G38" s="33">
        <f t="shared" si="1"/>
        <v>0</v>
      </c>
      <c r="H38" s="17" t="s">
        <v>55</v>
      </c>
      <c r="I38" s="10">
        <f>D6</f>
        <v>7.833</v>
      </c>
      <c r="J38" s="10">
        <f t="shared" si="2"/>
        <v>73.99300000000001</v>
      </c>
      <c r="K38" s="10">
        <v>0</v>
      </c>
      <c r="L38" s="12">
        <f t="shared" si="3"/>
        <v>-15.666</v>
      </c>
    </row>
    <row r="39" spans="2:12" ht="15.75">
      <c r="B39" s="26">
        <v>45778</v>
      </c>
      <c r="C39" s="18" t="s">
        <v>30</v>
      </c>
      <c r="D39" s="10">
        <v>0</v>
      </c>
      <c r="E39" s="11">
        <f t="shared" si="0"/>
        <v>43.535000000000004</v>
      </c>
      <c r="F39" s="11">
        <v>0</v>
      </c>
      <c r="G39" s="33">
        <f t="shared" si="1"/>
        <v>0</v>
      </c>
      <c r="H39" s="17" t="s">
        <v>58</v>
      </c>
      <c r="I39" s="10">
        <f>K39</f>
        <v>-7.833</v>
      </c>
      <c r="J39" s="10">
        <f t="shared" si="2"/>
        <v>66.16000000000001</v>
      </c>
      <c r="K39" s="10">
        <f>-I38</f>
        <v>-7.833</v>
      </c>
      <c r="L39" s="12">
        <f t="shared" si="3"/>
        <v>-23.499000000000002</v>
      </c>
    </row>
    <row r="40" spans="2:12" ht="15.75">
      <c r="B40" s="26">
        <v>45809</v>
      </c>
      <c r="C40" s="18" t="s">
        <v>30</v>
      </c>
      <c r="D40" s="10">
        <v>0</v>
      </c>
      <c r="E40" s="11">
        <f t="shared" si="0"/>
        <v>43.535000000000004</v>
      </c>
      <c r="F40" s="11">
        <v>0</v>
      </c>
      <c r="G40" s="33">
        <f t="shared" si="1"/>
        <v>0</v>
      </c>
      <c r="H40" s="17" t="s">
        <v>56</v>
      </c>
      <c r="I40" s="10">
        <f>D7</f>
        <v>7.833</v>
      </c>
      <c r="J40" s="10">
        <f t="shared" si="2"/>
        <v>73.99300000000001</v>
      </c>
      <c r="K40" s="10">
        <v>0</v>
      </c>
      <c r="L40" s="12">
        <f t="shared" si="3"/>
        <v>-23.499000000000002</v>
      </c>
    </row>
    <row r="41" spans="2:12" ht="15.75">
      <c r="B41" s="26">
        <v>45839</v>
      </c>
      <c r="C41" s="18" t="s">
        <v>55</v>
      </c>
      <c r="D41" s="10">
        <f>D13</f>
        <v>8.707</v>
      </c>
      <c r="E41" s="11">
        <f t="shared" si="0"/>
        <v>52.242000000000004</v>
      </c>
      <c r="F41" s="11">
        <v>0</v>
      </c>
      <c r="G41" s="33">
        <f t="shared" si="1"/>
        <v>0</v>
      </c>
      <c r="H41" s="18" t="s">
        <v>30</v>
      </c>
      <c r="I41" s="10">
        <v>0</v>
      </c>
      <c r="J41" s="10">
        <f t="shared" si="2"/>
        <v>73.99300000000001</v>
      </c>
      <c r="K41" s="10">
        <v>0</v>
      </c>
      <c r="L41" s="12">
        <f t="shared" si="3"/>
        <v>-23.499000000000002</v>
      </c>
    </row>
    <row r="42" spans="2:12" ht="15.75">
      <c r="B42" s="26">
        <v>45839</v>
      </c>
      <c r="C42" s="18" t="s">
        <v>30</v>
      </c>
      <c r="D42" s="10">
        <v>0</v>
      </c>
      <c r="E42" s="11">
        <f t="shared" si="0"/>
        <v>52.242000000000004</v>
      </c>
      <c r="F42" s="11">
        <v>0</v>
      </c>
      <c r="G42" s="33">
        <f t="shared" si="1"/>
        <v>0</v>
      </c>
      <c r="H42" s="17" t="s">
        <v>36</v>
      </c>
      <c r="I42" s="10">
        <v>0</v>
      </c>
      <c r="J42" s="10">
        <f t="shared" si="2"/>
        <v>73.99300000000001</v>
      </c>
      <c r="K42" s="10">
        <v>0</v>
      </c>
      <c r="L42" s="12">
        <f t="shared" si="3"/>
        <v>-23.499000000000002</v>
      </c>
    </row>
    <row r="43" spans="2:12" ht="15.75">
      <c r="B43" s="26">
        <v>45901</v>
      </c>
      <c r="C43" s="18" t="s">
        <v>30</v>
      </c>
      <c r="D43" s="10">
        <v>0</v>
      </c>
      <c r="E43" s="11">
        <f t="shared" si="0"/>
        <v>52.242000000000004</v>
      </c>
      <c r="F43" s="11">
        <v>0</v>
      </c>
      <c r="G43" s="33">
        <f t="shared" si="1"/>
        <v>0</v>
      </c>
      <c r="H43" s="36" t="s">
        <v>59</v>
      </c>
      <c r="I43" s="10">
        <f>K43</f>
        <v>-7.833</v>
      </c>
      <c r="J43" s="10">
        <f t="shared" si="2"/>
        <v>66.16000000000001</v>
      </c>
      <c r="K43" s="10">
        <f>-I40</f>
        <v>-7.833</v>
      </c>
      <c r="L43" s="12">
        <f t="shared" si="3"/>
        <v>-31.332</v>
      </c>
    </row>
    <row r="44" spans="2:12" ht="15.75">
      <c r="B44" s="26">
        <v>45901</v>
      </c>
      <c r="C44" s="18" t="s">
        <v>30</v>
      </c>
      <c r="D44" s="10">
        <v>0</v>
      </c>
      <c r="E44" s="11">
        <f t="shared" si="0"/>
        <v>52.242000000000004</v>
      </c>
      <c r="F44" s="11">
        <v>0</v>
      </c>
      <c r="G44" s="33">
        <f t="shared" si="1"/>
        <v>0</v>
      </c>
      <c r="H44" s="36" t="s">
        <v>37</v>
      </c>
      <c r="I44" s="10">
        <f>-I27-I22-I25-I28</f>
        <v>-40.039</v>
      </c>
      <c r="J44" s="10">
        <f t="shared" si="2"/>
        <v>26.12100000000001</v>
      </c>
      <c r="K44" s="10">
        <v>0</v>
      </c>
      <c r="L44" s="12">
        <f t="shared" si="3"/>
        <v>-31.332</v>
      </c>
    </row>
    <row r="45" spans="2:12" ht="15.75">
      <c r="B45" s="26">
        <v>45901</v>
      </c>
      <c r="C45" s="18" t="s">
        <v>30</v>
      </c>
      <c r="D45" s="10">
        <v>0</v>
      </c>
      <c r="E45" s="11">
        <f t="shared" si="0"/>
        <v>52.242000000000004</v>
      </c>
      <c r="F45" s="11">
        <v>0</v>
      </c>
      <c r="G45" s="33">
        <f t="shared" si="1"/>
        <v>0</v>
      </c>
      <c r="H45" s="36" t="s">
        <v>60</v>
      </c>
      <c r="I45" s="10">
        <f>D8</f>
        <v>7.773000000000001</v>
      </c>
      <c r="J45" s="10">
        <f t="shared" si="2"/>
        <v>33.89400000000001</v>
      </c>
      <c r="K45" s="10">
        <v>0</v>
      </c>
      <c r="L45" s="12">
        <f t="shared" si="3"/>
        <v>-31.332</v>
      </c>
    </row>
    <row r="46" spans="2:12" ht="15.75">
      <c r="B46" s="26">
        <v>45992</v>
      </c>
      <c r="C46" s="18" t="s">
        <v>30</v>
      </c>
      <c r="D46" s="10">
        <v>0</v>
      </c>
      <c r="E46" s="11">
        <f t="shared" si="0"/>
        <v>52.242000000000004</v>
      </c>
      <c r="F46" s="11">
        <v>0</v>
      </c>
      <c r="G46" s="33">
        <f t="shared" si="1"/>
        <v>0</v>
      </c>
      <c r="H46" s="36" t="s">
        <v>61</v>
      </c>
      <c r="I46" s="10">
        <f>K46</f>
        <v>-7.773000000000001</v>
      </c>
      <c r="J46" s="10">
        <f t="shared" si="2"/>
        <v>26.121000000000013</v>
      </c>
      <c r="K46" s="10">
        <f>-I45</f>
        <v>-7.773000000000001</v>
      </c>
      <c r="L46" s="12">
        <f t="shared" si="3"/>
        <v>-39.105000000000004</v>
      </c>
    </row>
    <row r="47" spans="2:12" ht="15.75">
      <c r="B47" s="26">
        <v>45992</v>
      </c>
      <c r="C47" s="18" t="s">
        <v>30</v>
      </c>
      <c r="D47" s="10">
        <v>0</v>
      </c>
      <c r="E47" s="11">
        <f t="shared" si="0"/>
        <v>52.242000000000004</v>
      </c>
      <c r="F47" s="11">
        <v>0</v>
      </c>
      <c r="G47" s="33">
        <f t="shared" si="1"/>
        <v>0</v>
      </c>
      <c r="H47" s="36" t="s">
        <v>62</v>
      </c>
      <c r="I47" s="10">
        <f>D9</f>
        <v>7.773000000000001</v>
      </c>
      <c r="J47" s="10">
        <f t="shared" si="2"/>
        <v>33.89400000000001</v>
      </c>
      <c r="K47" s="10">
        <v>0</v>
      </c>
      <c r="L47" s="12">
        <f t="shared" si="3"/>
        <v>-39.105000000000004</v>
      </c>
    </row>
    <row r="48" spans="2:12" ht="15.75">
      <c r="B48" s="26">
        <v>46023</v>
      </c>
      <c r="C48" s="18" t="s">
        <v>56</v>
      </c>
      <c r="D48" s="10">
        <f>D13</f>
        <v>8.707</v>
      </c>
      <c r="E48" s="11">
        <f t="shared" si="0"/>
        <v>60.949000000000005</v>
      </c>
      <c r="F48" s="11">
        <v>0</v>
      </c>
      <c r="G48" s="33">
        <f t="shared" si="1"/>
        <v>0</v>
      </c>
      <c r="H48" s="37" t="s">
        <v>30</v>
      </c>
      <c r="I48" s="10">
        <v>0</v>
      </c>
      <c r="J48" s="10">
        <f t="shared" si="2"/>
        <v>33.89400000000001</v>
      </c>
      <c r="K48" s="10">
        <v>0</v>
      </c>
      <c r="L48" s="12">
        <f t="shared" si="3"/>
        <v>-39.105000000000004</v>
      </c>
    </row>
    <row r="49" spans="2:12" ht="15.75">
      <c r="B49" s="26">
        <v>46054</v>
      </c>
      <c r="C49" s="18" t="s">
        <v>76</v>
      </c>
      <c r="D49" s="10">
        <v>0</v>
      </c>
      <c r="E49" s="11">
        <f t="shared" si="0"/>
        <v>60.949000000000005</v>
      </c>
      <c r="F49" s="11">
        <v>0</v>
      </c>
      <c r="G49" s="33">
        <f t="shared" si="1"/>
        <v>0</v>
      </c>
      <c r="H49" s="18" t="s">
        <v>76</v>
      </c>
      <c r="I49" s="10">
        <v>0</v>
      </c>
      <c r="J49" s="10">
        <f t="shared" si="2"/>
        <v>33.89400000000001</v>
      </c>
      <c r="K49" s="11">
        <v>0</v>
      </c>
      <c r="L49" s="12">
        <f t="shared" si="3"/>
        <v>-39.105000000000004</v>
      </c>
    </row>
    <row r="50" spans="2:12" ht="15.75">
      <c r="B50" s="26">
        <v>46082</v>
      </c>
      <c r="C50" s="18" t="s">
        <v>30</v>
      </c>
      <c r="D50" s="10">
        <v>0</v>
      </c>
      <c r="E50" s="11">
        <f t="shared" si="0"/>
        <v>60.949000000000005</v>
      </c>
      <c r="F50" s="11">
        <v>0</v>
      </c>
      <c r="G50" s="33">
        <f t="shared" si="1"/>
        <v>0</v>
      </c>
      <c r="H50" s="37" t="s">
        <v>74</v>
      </c>
      <c r="I50" s="10">
        <f>K50</f>
        <v>-7.773000000000001</v>
      </c>
      <c r="J50" s="10">
        <f t="shared" si="2"/>
        <v>26.121000000000013</v>
      </c>
      <c r="K50" s="10">
        <f>-I47</f>
        <v>-7.773000000000001</v>
      </c>
      <c r="L50" s="12">
        <f t="shared" si="3"/>
        <v>-46.87800000000001</v>
      </c>
    </row>
    <row r="51" spans="2:12" ht="15.75">
      <c r="B51" s="26">
        <v>46082</v>
      </c>
      <c r="C51" s="18" t="s">
        <v>30</v>
      </c>
      <c r="D51" s="10">
        <v>0</v>
      </c>
      <c r="E51" s="11">
        <f t="shared" si="0"/>
        <v>60.949000000000005</v>
      </c>
      <c r="F51" s="11">
        <v>0</v>
      </c>
      <c r="G51" s="33">
        <f t="shared" si="1"/>
        <v>0</v>
      </c>
      <c r="H51" s="36" t="s">
        <v>63</v>
      </c>
      <c r="I51" s="10">
        <f>D10</f>
        <v>7.773000000000001</v>
      </c>
      <c r="J51" s="10">
        <f t="shared" si="2"/>
        <v>33.89400000000001</v>
      </c>
      <c r="K51" s="10">
        <v>0</v>
      </c>
      <c r="L51" s="12">
        <f t="shared" si="3"/>
        <v>-46.87800000000001</v>
      </c>
    </row>
    <row r="52" spans="2:12" ht="15.75">
      <c r="B52" s="26">
        <v>46113</v>
      </c>
      <c r="C52" s="17" t="s">
        <v>25</v>
      </c>
      <c r="D52" s="10">
        <v>0</v>
      </c>
      <c r="E52" s="11">
        <f t="shared" si="0"/>
        <v>60.949000000000005</v>
      </c>
      <c r="F52" s="11">
        <v>0</v>
      </c>
      <c r="G52" s="33">
        <f t="shared" si="1"/>
        <v>0</v>
      </c>
      <c r="H52" s="17" t="s">
        <v>25</v>
      </c>
      <c r="I52" s="10">
        <v>0</v>
      </c>
      <c r="J52" s="10">
        <f t="shared" si="2"/>
        <v>33.89400000000001</v>
      </c>
      <c r="K52" s="10">
        <v>0</v>
      </c>
      <c r="L52" s="12">
        <f t="shared" si="3"/>
        <v>-46.87800000000001</v>
      </c>
    </row>
    <row r="53" spans="2:12" ht="15.75">
      <c r="B53" s="26">
        <v>46113</v>
      </c>
      <c r="C53" s="17" t="s">
        <v>52</v>
      </c>
      <c r="D53" s="10">
        <v>0</v>
      </c>
      <c r="E53" s="11">
        <f t="shared" si="0"/>
        <v>60.949000000000005</v>
      </c>
      <c r="F53" s="11">
        <v>0</v>
      </c>
      <c r="G53" s="33">
        <f t="shared" si="1"/>
        <v>0</v>
      </c>
      <c r="H53" s="17" t="s">
        <v>52</v>
      </c>
      <c r="I53" s="10">
        <v>0</v>
      </c>
      <c r="J53" s="10">
        <f t="shared" si="2"/>
        <v>33.89400000000001</v>
      </c>
      <c r="K53" s="10">
        <v>0</v>
      </c>
      <c r="L53" s="12">
        <f t="shared" si="3"/>
        <v>-46.87800000000001</v>
      </c>
    </row>
    <row r="54" spans="2:12" ht="15.75">
      <c r="B54" s="26">
        <v>46174</v>
      </c>
      <c r="C54" s="18" t="s">
        <v>30</v>
      </c>
      <c r="D54" s="10">
        <v>0</v>
      </c>
      <c r="E54" s="11">
        <f t="shared" si="0"/>
        <v>60.949000000000005</v>
      </c>
      <c r="F54" s="11">
        <v>0</v>
      </c>
      <c r="G54" s="33">
        <f t="shared" si="1"/>
        <v>0</v>
      </c>
      <c r="H54" s="18" t="s">
        <v>54</v>
      </c>
      <c r="I54" s="10">
        <f>-I51</f>
        <v>-7.773000000000001</v>
      </c>
      <c r="J54" s="10">
        <f t="shared" si="2"/>
        <v>26.121000000000013</v>
      </c>
      <c r="K54" s="10">
        <v>0</v>
      </c>
      <c r="L54" s="12">
        <f t="shared" si="3"/>
        <v>-46.87800000000001</v>
      </c>
    </row>
    <row r="55" spans="2:12" ht="17" thickBot="1">
      <c r="B55" s="27">
        <v>46174</v>
      </c>
      <c r="C55" s="32" t="s">
        <v>53</v>
      </c>
      <c r="D55" s="14">
        <f>-E54</f>
        <v>-60.949000000000005</v>
      </c>
      <c r="E55" s="15">
        <f t="shared" si="0"/>
        <v>0</v>
      </c>
      <c r="F55" s="15">
        <v>0</v>
      </c>
      <c r="G55" s="34">
        <f t="shared" si="1"/>
        <v>0</v>
      </c>
      <c r="H55" s="19" t="s">
        <v>51</v>
      </c>
      <c r="I55" s="14">
        <f>-I18-I19-I21-I24</f>
        <v>-26.121000000000002</v>
      </c>
      <c r="J55" s="14">
        <f t="shared" si="2"/>
        <v>0</v>
      </c>
      <c r="K55" s="14">
        <v>0</v>
      </c>
      <c r="L55" s="16">
        <f t="shared" si="3"/>
        <v>-46.87800000000001</v>
      </c>
    </row>
    <row r="56" spans="2:12" ht="15.75">
      <c r="B56" s="4"/>
      <c r="C56" s="17"/>
      <c r="D56" s="9"/>
      <c r="E56" s="9"/>
      <c r="F56" s="9"/>
      <c r="G56" s="9"/>
      <c r="H56" s="17"/>
      <c r="I56" s="9"/>
      <c r="J56" s="9"/>
      <c r="K56" s="9"/>
      <c r="L56" s="20"/>
    </row>
    <row r="57" spans="3:12" ht="15.75">
      <c r="C57" s="17"/>
      <c r="D57" s="9"/>
      <c r="E57" s="9"/>
      <c r="F57" s="9"/>
      <c r="G57" s="9"/>
      <c r="H57" s="17"/>
      <c r="I57" s="9"/>
      <c r="J57" s="9"/>
      <c r="K57" s="9"/>
      <c r="L57" s="20"/>
    </row>
    <row r="58" spans="3:12" ht="15.75">
      <c r="C58" s="17"/>
      <c r="D58" s="21" t="s">
        <v>50</v>
      </c>
      <c r="E58" s="11">
        <f>MAX(E18:E55)</f>
        <v>60.949000000000005</v>
      </c>
      <c r="F58" s="9"/>
      <c r="G58" s="9"/>
      <c r="H58" s="17"/>
      <c r="I58" s="21" t="s">
        <v>27</v>
      </c>
      <c r="J58" s="11">
        <f>MAX(J18:J55)</f>
        <v>73.99300000000001</v>
      </c>
      <c r="K58" s="9"/>
      <c r="L58" s="20"/>
    </row>
    <row r="59" spans="3:12" ht="15.75">
      <c r="C59" s="17"/>
      <c r="D59" s="21" t="s">
        <v>28</v>
      </c>
      <c r="E59" s="22">
        <f>E58/D3</f>
        <v>1.9452636282394997</v>
      </c>
      <c r="F59" s="9"/>
      <c r="G59" s="9"/>
      <c r="H59" s="17"/>
      <c r="I59" s="21" t="s">
        <v>28</v>
      </c>
      <c r="J59" s="22">
        <f>J58/D3</f>
        <v>2.361579216136857</v>
      </c>
      <c r="K59" s="9"/>
      <c r="L59" s="20"/>
    </row>
    <row r="60" spans="3:12" ht="15.75">
      <c r="C60" s="17"/>
      <c r="D60" s="21" t="s">
        <v>72</v>
      </c>
      <c r="E60" s="11">
        <f>G55</f>
        <v>0</v>
      </c>
      <c r="F60" s="9"/>
      <c r="G60" s="9"/>
      <c r="H60" s="17"/>
      <c r="I60" s="21" t="s">
        <v>72</v>
      </c>
      <c r="J60" s="11">
        <f>-L55</f>
        <v>46.87800000000001</v>
      </c>
      <c r="K60" s="9"/>
      <c r="L60" s="20"/>
    </row>
    <row r="61" spans="3:12" ht="17" thickBot="1">
      <c r="C61" s="19"/>
      <c r="D61" s="23" t="s">
        <v>29</v>
      </c>
      <c r="E61" s="24">
        <f>G55/D3</f>
        <v>0</v>
      </c>
      <c r="F61" s="13"/>
      <c r="G61" s="13"/>
      <c r="H61" s="19"/>
      <c r="I61" s="23" t="s">
        <v>29</v>
      </c>
      <c r="J61" s="24">
        <f>J60/D3</f>
        <v>1.4961700497893529</v>
      </c>
      <c r="K61" s="13"/>
      <c r="L61" s="25"/>
    </row>
    <row r="62" spans="8:12" ht="15.75">
      <c r="H62" s="9"/>
      <c r="I62" s="9"/>
      <c r="J62" s="9"/>
      <c r="K62" s="9"/>
      <c r="L62" s="9"/>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6FE8B-38BF-BD4A-AD93-F30C465F3545}">
  <dimension ref="A1:L64"/>
  <sheetViews>
    <sheetView workbookViewId="0" topLeftCell="A1">
      <selection activeCell="F10" sqref="F10"/>
    </sheetView>
  </sheetViews>
  <sheetFormatPr defaultColWidth="10.625" defaultRowHeight="15.75"/>
  <cols>
    <col min="2" max="2" width="9.00390625" style="0" customWidth="1"/>
    <col min="3" max="3" width="47.00390625" style="0" customWidth="1"/>
    <col min="4" max="7" width="12.875" style="0" customWidth="1"/>
    <col min="8" max="8" width="51.125" style="0" customWidth="1"/>
    <col min="9" max="12" width="12.875" style="0" customWidth="1"/>
  </cols>
  <sheetData>
    <row r="1" ht="15.75">
      <c r="A1" s="1" t="s">
        <v>82</v>
      </c>
    </row>
    <row r="2" ht="17" thickBot="1"/>
    <row r="3" spans="1:4" ht="17" thickBot="1">
      <c r="A3" s="39" t="s">
        <v>66</v>
      </c>
      <c r="B3" s="40"/>
      <c r="C3" s="40"/>
      <c r="D3" s="41">
        <f>12*Assumptions!C2*Assumptions!C16</f>
        <v>31.332</v>
      </c>
    </row>
    <row r="4" spans="1:4" ht="15.75">
      <c r="A4" s="42" t="s">
        <v>67</v>
      </c>
      <c r="B4" s="43"/>
      <c r="C4" s="43"/>
      <c r="D4" s="44">
        <f>Assumptions!C2*Assumptions!C16*3</f>
        <v>7.833</v>
      </c>
    </row>
    <row r="5" spans="1:4" ht="15.75">
      <c r="A5" s="45" t="s">
        <v>68</v>
      </c>
      <c r="B5" s="38"/>
      <c r="C5" s="38"/>
      <c r="D5" s="46">
        <f>Assumptions!C2*Assumptions!C16*3</f>
        <v>7.833</v>
      </c>
    </row>
    <row r="6" spans="1:5" ht="15.75">
      <c r="A6" s="45" t="s">
        <v>69</v>
      </c>
      <c r="B6" s="38"/>
      <c r="C6" s="38"/>
      <c r="D6" s="46">
        <f>Assumptions!C2*Assumptions!C16*3</f>
        <v>7.833</v>
      </c>
      <c r="E6" s="5"/>
    </row>
    <row r="7" spans="1:5" ht="17" thickBot="1">
      <c r="A7" s="47" t="s">
        <v>70</v>
      </c>
      <c r="B7" s="48"/>
      <c r="C7" s="48"/>
      <c r="D7" s="49">
        <f>Assumptions!C2*Assumptions!C16*3</f>
        <v>7.833</v>
      </c>
      <c r="E7" s="5"/>
    </row>
    <row r="8" spans="1:5" ht="15.75">
      <c r="A8" s="42" t="s">
        <v>38</v>
      </c>
      <c r="B8" s="43"/>
      <c r="C8" s="43"/>
      <c r="D8" s="44">
        <f>Assumptions!C2*Assumptions!C22*3</f>
        <v>7.773000000000001</v>
      </c>
      <c r="E8" s="5"/>
    </row>
    <row r="9" spans="1:5" ht="15.75">
      <c r="A9" s="45" t="s">
        <v>39</v>
      </c>
      <c r="B9" s="38"/>
      <c r="C9" s="38"/>
      <c r="D9" s="46">
        <f>Assumptions!C2*Assumptions!C22*3</f>
        <v>7.773000000000001</v>
      </c>
      <c r="E9" s="5"/>
    </row>
    <row r="10" spans="1:5" ht="15.75">
      <c r="A10" s="45" t="s">
        <v>40</v>
      </c>
      <c r="B10" s="38"/>
      <c r="C10" s="38"/>
      <c r="D10" s="46">
        <f>Assumptions!C2*Assumptions!C22*3</f>
        <v>7.773000000000001</v>
      </c>
      <c r="E10" s="5"/>
    </row>
    <row r="11" spans="1:5" ht="17" thickBot="1">
      <c r="A11" s="47" t="s">
        <v>41</v>
      </c>
      <c r="B11" s="48"/>
      <c r="C11" s="48"/>
      <c r="D11" s="49">
        <f>Assumptions!C2*Assumptions!C22*3</f>
        <v>7.773000000000001</v>
      </c>
      <c r="E11" s="5"/>
    </row>
    <row r="12" ht="15.75">
      <c r="D12" s="5"/>
    </row>
    <row r="13" spans="1:4" ht="15.75">
      <c r="A13" t="s">
        <v>32</v>
      </c>
      <c r="D13" s="5">
        <f>Assumptions!C14</f>
        <v>8.707</v>
      </c>
    </row>
    <row r="14" spans="1:4" ht="15.75">
      <c r="A14" t="s">
        <v>31</v>
      </c>
      <c r="D14" s="5">
        <f>MIN(D13,(D3/3))</f>
        <v>8.707</v>
      </c>
    </row>
    <row r="15" ht="17" thickBot="1">
      <c r="A15" s="2"/>
    </row>
    <row r="16" spans="2:12" ht="15.75">
      <c r="B16" s="6"/>
      <c r="C16" s="28" t="s">
        <v>12</v>
      </c>
      <c r="D16" s="7"/>
      <c r="E16" s="7"/>
      <c r="F16" s="7"/>
      <c r="G16" s="8"/>
      <c r="H16" s="28" t="s">
        <v>13</v>
      </c>
      <c r="I16" s="7"/>
      <c r="J16" s="7"/>
      <c r="K16" s="7"/>
      <c r="L16" s="8"/>
    </row>
    <row r="17" spans="2:12" s="3" customFormat="1" ht="34">
      <c r="B17" s="29" t="s">
        <v>6</v>
      </c>
      <c r="C17" s="29" t="s">
        <v>7</v>
      </c>
      <c r="D17" s="30" t="s">
        <v>9</v>
      </c>
      <c r="E17" s="30" t="s">
        <v>8</v>
      </c>
      <c r="F17" s="30" t="s">
        <v>10</v>
      </c>
      <c r="G17" s="31" t="s">
        <v>11</v>
      </c>
      <c r="H17" s="29" t="s">
        <v>7</v>
      </c>
      <c r="I17" s="30" t="s">
        <v>9</v>
      </c>
      <c r="J17" s="30" t="s">
        <v>8</v>
      </c>
      <c r="K17" s="30" t="s">
        <v>10</v>
      </c>
      <c r="L17" s="31" t="s">
        <v>11</v>
      </c>
    </row>
    <row r="18" spans="2:12" ht="15.75">
      <c r="B18" s="26">
        <v>44136</v>
      </c>
      <c r="C18" s="17" t="s">
        <v>14</v>
      </c>
      <c r="D18" s="10">
        <v>2</v>
      </c>
      <c r="E18" s="11">
        <f>D18</f>
        <v>2</v>
      </c>
      <c r="F18" s="11">
        <v>0</v>
      </c>
      <c r="G18" s="33">
        <v>0</v>
      </c>
      <c r="H18" s="17" t="s">
        <v>14</v>
      </c>
      <c r="I18" s="10">
        <f>2</f>
        <v>2</v>
      </c>
      <c r="J18" s="10">
        <f>I18</f>
        <v>2</v>
      </c>
      <c r="K18" s="10">
        <v>0</v>
      </c>
      <c r="L18" s="12">
        <v>0</v>
      </c>
    </row>
    <row r="19" spans="2:12" ht="15.75">
      <c r="B19" s="26">
        <v>44197</v>
      </c>
      <c r="C19" s="17" t="s">
        <v>15</v>
      </c>
      <c r="D19" s="10">
        <f>D13-D18</f>
        <v>6.707000000000001</v>
      </c>
      <c r="E19" s="11">
        <f>D19+E18</f>
        <v>8.707</v>
      </c>
      <c r="F19" s="11">
        <v>0</v>
      </c>
      <c r="G19" s="33">
        <f>F19+G18</f>
        <v>0</v>
      </c>
      <c r="H19" s="17" t="s">
        <v>15</v>
      </c>
      <c r="I19" s="10">
        <f>D14-I18</f>
        <v>6.707000000000001</v>
      </c>
      <c r="J19" s="10">
        <f>J18+I19</f>
        <v>8.707</v>
      </c>
      <c r="K19" s="10">
        <v>0</v>
      </c>
      <c r="L19" s="12">
        <f>K19+L18</f>
        <v>0</v>
      </c>
    </row>
    <row r="20" spans="2:12" ht="15.75">
      <c r="B20" s="26">
        <v>44228</v>
      </c>
      <c r="C20" s="17" t="s">
        <v>75</v>
      </c>
      <c r="D20" s="10">
        <v>0</v>
      </c>
      <c r="E20" s="11">
        <f aca="true" t="shared" si="0" ref="E20:E57">D20+E19</f>
        <v>8.707</v>
      </c>
      <c r="F20" s="11">
        <v>0</v>
      </c>
      <c r="G20" s="33">
        <f aca="true" t="shared" si="1" ref="G20:G57">F20+G19</f>
        <v>0</v>
      </c>
      <c r="H20" s="17" t="s">
        <v>75</v>
      </c>
      <c r="I20" s="10">
        <v>0</v>
      </c>
      <c r="J20" s="10">
        <f aca="true" t="shared" si="2" ref="J20:J57">J19+I20</f>
        <v>8.707</v>
      </c>
      <c r="K20" s="10">
        <v>0</v>
      </c>
      <c r="L20" s="12">
        <f aca="true" t="shared" si="3" ref="L20:L57">K20+L19</f>
        <v>0</v>
      </c>
    </row>
    <row r="21" spans="2:12" ht="15.75">
      <c r="B21" s="26">
        <v>44562</v>
      </c>
      <c r="C21" s="17" t="s">
        <v>17</v>
      </c>
      <c r="D21" s="10">
        <f>D13</f>
        <v>8.707</v>
      </c>
      <c r="E21" s="11">
        <f t="shared" si="0"/>
        <v>17.414</v>
      </c>
      <c r="F21" s="11">
        <v>0</v>
      </c>
      <c r="G21" s="33">
        <f t="shared" si="1"/>
        <v>0</v>
      </c>
      <c r="H21" s="17" t="s">
        <v>17</v>
      </c>
      <c r="I21" s="10">
        <f>D14</f>
        <v>8.707</v>
      </c>
      <c r="J21" s="10">
        <f t="shared" si="2"/>
        <v>17.414</v>
      </c>
      <c r="K21" s="10">
        <v>0</v>
      </c>
      <c r="L21" s="12">
        <f t="shared" si="3"/>
        <v>0</v>
      </c>
    </row>
    <row r="22" spans="2:12" ht="15.75">
      <c r="B22" s="26">
        <v>44562</v>
      </c>
      <c r="C22" s="18" t="s">
        <v>30</v>
      </c>
      <c r="D22" s="10">
        <v>0</v>
      </c>
      <c r="E22" s="11">
        <f t="shared" si="0"/>
        <v>17.414</v>
      </c>
      <c r="F22" s="11">
        <v>0</v>
      </c>
      <c r="G22" s="33">
        <f t="shared" si="1"/>
        <v>0</v>
      </c>
      <c r="H22" s="17" t="s">
        <v>33</v>
      </c>
      <c r="I22" s="10">
        <f>0*MIN((1*D14),(D3/6))</f>
        <v>0</v>
      </c>
      <c r="J22" s="10">
        <f t="shared" si="2"/>
        <v>17.414</v>
      </c>
      <c r="K22" s="10">
        <v>0</v>
      </c>
      <c r="L22" s="12">
        <f t="shared" si="3"/>
        <v>0</v>
      </c>
    </row>
    <row r="23" spans="2:12" ht="15.75">
      <c r="B23" s="26">
        <v>44593</v>
      </c>
      <c r="C23" s="17" t="s">
        <v>16</v>
      </c>
      <c r="D23" s="10">
        <v>0</v>
      </c>
      <c r="E23" s="11">
        <f t="shared" si="0"/>
        <v>17.414</v>
      </c>
      <c r="F23" s="11">
        <v>0</v>
      </c>
      <c r="G23" s="33">
        <f t="shared" si="1"/>
        <v>0</v>
      </c>
      <c r="H23" s="17" t="s">
        <v>16</v>
      </c>
      <c r="I23" s="10">
        <v>0</v>
      </c>
      <c r="J23" s="10">
        <f t="shared" si="2"/>
        <v>17.414</v>
      </c>
      <c r="K23" s="10">
        <v>0</v>
      </c>
      <c r="L23" s="12">
        <f t="shared" si="3"/>
        <v>0</v>
      </c>
    </row>
    <row r="24" spans="2:12" ht="15.75">
      <c r="B24" s="26">
        <v>44927</v>
      </c>
      <c r="C24" s="17" t="s">
        <v>19</v>
      </c>
      <c r="D24" s="10">
        <f>D13</f>
        <v>8.707</v>
      </c>
      <c r="E24" s="11">
        <f t="shared" si="0"/>
        <v>26.121000000000002</v>
      </c>
      <c r="F24" s="11">
        <v>0</v>
      </c>
      <c r="G24" s="33">
        <f t="shared" si="1"/>
        <v>0</v>
      </c>
      <c r="H24" s="17" t="s">
        <v>19</v>
      </c>
      <c r="I24" s="10">
        <f>D14</f>
        <v>8.707</v>
      </c>
      <c r="J24" s="10">
        <f t="shared" si="2"/>
        <v>26.121000000000002</v>
      </c>
      <c r="K24" s="10">
        <v>0</v>
      </c>
      <c r="L24" s="12">
        <f t="shared" si="3"/>
        <v>0</v>
      </c>
    </row>
    <row r="25" spans="2:12" ht="15.75">
      <c r="B25" s="26">
        <v>44927</v>
      </c>
      <c r="C25" s="18" t="s">
        <v>30</v>
      </c>
      <c r="D25" s="10">
        <v>0</v>
      </c>
      <c r="E25" s="11">
        <f t="shared" si="0"/>
        <v>26.121000000000002</v>
      </c>
      <c r="F25" s="11">
        <v>0</v>
      </c>
      <c r="G25" s="33">
        <f t="shared" si="1"/>
        <v>0</v>
      </c>
      <c r="H25" s="17" t="s">
        <v>34</v>
      </c>
      <c r="I25" s="10">
        <f>0*MIN((3*D14),(D3/2))-I22</f>
        <v>0</v>
      </c>
      <c r="J25" s="10">
        <f t="shared" si="2"/>
        <v>26.121000000000002</v>
      </c>
      <c r="K25" s="10">
        <v>0</v>
      </c>
      <c r="L25" s="12">
        <f t="shared" si="3"/>
        <v>0</v>
      </c>
    </row>
    <row r="26" spans="2:12" ht="15.75">
      <c r="B26" s="26">
        <v>44958</v>
      </c>
      <c r="C26" s="17" t="s">
        <v>18</v>
      </c>
      <c r="D26" s="10">
        <v>0</v>
      </c>
      <c r="E26" s="11">
        <f t="shared" si="0"/>
        <v>26.121000000000002</v>
      </c>
      <c r="F26" s="11">
        <v>0</v>
      </c>
      <c r="G26" s="33">
        <f t="shared" si="1"/>
        <v>0</v>
      </c>
      <c r="H26" s="17" t="s">
        <v>18</v>
      </c>
      <c r="I26" s="10">
        <v>0</v>
      </c>
      <c r="J26" s="10">
        <f t="shared" si="2"/>
        <v>26.121000000000002</v>
      </c>
      <c r="K26" s="10">
        <v>0</v>
      </c>
      <c r="L26" s="12">
        <f t="shared" si="3"/>
        <v>0</v>
      </c>
    </row>
    <row r="27" spans="2:12" ht="15.75">
      <c r="B27" s="26">
        <v>45292</v>
      </c>
      <c r="C27" s="18" t="s">
        <v>30</v>
      </c>
      <c r="D27" s="10">
        <v>0</v>
      </c>
      <c r="E27" s="11">
        <f t="shared" si="0"/>
        <v>26.121000000000002</v>
      </c>
      <c r="F27" s="11">
        <v>0</v>
      </c>
      <c r="G27" s="33">
        <f t="shared" si="1"/>
        <v>0</v>
      </c>
      <c r="H27" s="17" t="s">
        <v>21</v>
      </c>
      <c r="I27" s="10">
        <f>D14</f>
        <v>8.707</v>
      </c>
      <c r="J27" s="10">
        <f t="shared" si="2"/>
        <v>34.828</v>
      </c>
      <c r="K27" s="10">
        <v>0</v>
      </c>
      <c r="L27" s="12">
        <f t="shared" si="3"/>
        <v>0</v>
      </c>
    </row>
    <row r="28" spans="2:12" ht="15.75">
      <c r="B28" s="26">
        <v>45292</v>
      </c>
      <c r="C28" s="18" t="s">
        <v>30</v>
      </c>
      <c r="D28" s="10">
        <v>0</v>
      </c>
      <c r="E28" s="11">
        <f t="shared" si="0"/>
        <v>26.121000000000002</v>
      </c>
      <c r="F28" s="11">
        <v>0</v>
      </c>
      <c r="G28" s="33">
        <f t="shared" si="1"/>
        <v>0</v>
      </c>
      <c r="H28" s="17" t="s">
        <v>35</v>
      </c>
      <c r="I28" s="10">
        <f>0*MIN((6*D14),(D3))-I25-I22</f>
        <v>0</v>
      </c>
      <c r="J28" s="10">
        <f t="shared" si="2"/>
        <v>34.828</v>
      </c>
      <c r="K28" s="10">
        <v>0</v>
      </c>
      <c r="L28" s="12">
        <f t="shared" si="3"/>
        <v>0</v>
      </c>
    </row>
    <row r="29" spans="2:12" ht="15.75">
      <c r="B29" s="26">
        <v>45323</v>
      </c>
      <c r="C29" s="17" t="s">
        <v>20</v>
      </c>
      <c r="D29" s="10">
        <v>0</v>
      </c>
      <c r="E29" s="11">
        <f t="shared" si="0"/>
        <v>26.121000000000002</v>
      </c>
      <c r="F29" s="11">
        <v>0</v>
      </c>
      <c r="G29" s="33">
        <f t="shared" si="1"/>
        <v>0</v>
      </c>
      <c r="H29" s="17" t="s">
        <v>20</v>
      </c>
      <c r="I29" s="10">
        <v>0</v>
      </c>
      <c r="J29" s="10">
        <f t="shared" si="2"/>
        <v>34.828</v>
      </c>
      <c r="K29" s="10">
        <v>0</v>
      </c>
      <c r="L29" s="12">
        <f t="shared" si="3"/>
        <v>0</v>
      </c>
    </row>
    <row r="30" spans="2:12" ht="15.75">
      <c r="B30" s="26">
        <v>45444</v>
      </c>
      <c r="C30" s="17" t="s">
        <v>23</v>
      </c>
      <c r="D30" s="10">
        <v>0</v>
      </c>
      <c r="E30" s="11">
        <f t="shared" si="0"/>
        <v>26.121000000000002</v>
      </c>
      <c r="F30" s="11">
        <v>0</v>
      </c>
      <c r="G30" s="33">
        <f t="shared" si="1"/>
        <v>0</v>
      </c>
      <c r="H30" s="17" t="s">
        <v>23</v>
      </c>
      <c r="I30" s="10">
        <v>0</v>
      </c>
      <c r="J30" s="10">
        <f t="shared" si="2"/>
        <v>34.828</v>
      </c>
      <c r="K30" s="10">
        <v>0</v>
      </c>
      <c r="L30" s="12">
        <f t="shared" si="3"/>
        <v>0</v>
      </c>
    </row>
    <row r="31" spans="2:12" ht="15.75">
      <c r="B31" s="26">
        <v>45474</v>
      </c>
      <c r="C31" s="17" t="s">
        <v>24</v>
      </c>
      <c r="D31" s="10">
        <f>D13</f>
        <v>8.707</v>
      </c>
      <c r="E31" s="11">
        <f t="shared" si="0"/>
        <v>34.828</v>
      </c>
      <c r="F31" s="11">
        <v>0</v>
      </c>
      <c r="G31" s="33">
        <f t="shared" si="1"/>
        <v>0</v>
      </c>
      <c r="H31" s="18" t="s">
        <v>30</v>
      </c>
      <c r="I31" s="10">
        <v>0</v>
      </c>
      <c r="J31" s="10">
        <f t="shared" si="2"/>
        <v>34.828</v>
      </c>
      <c r="K31" s="10">
        <v>0</v>
      </c>
      <c r="L31" s="12">
        <f t="shared" si="3"/>
        <v>0</v>
      </c>
    </row>
    <row r="32" spans="2:12" ht="15.75">
      <c r="B32" s="26">
        <v>45536</v>
      </c>
      <c r="C32" s="18" t="s">
        <v>30</v>
      </c>
      <c r="D32" s="10">
        <v>0</v>
      </c>
      <c r="E32" s="11">
        <f t="shared" si="0"/>
        <v>34.828</v>
      </c>
      <c r="F32" s="11">
        <v>0</v>
      </c>
      <c r="G32" s="33">
        <f t="shared" si="1"/>
        <v>0</v>
      </c>
      <c r="H32" s="17" t="s">
        <v>24</v>
      </c>
      <c r="I32" s="10">
        <v>0</v>
      </c>
      <c r="J32" s="10">
        <f t="shared" si="2"/>
        <v>34.828</v>
      </c>
      <c r="K32" s="10">
        <v>0</v>
      </c>
      <c r="L32" s="12">
        <f t="shared" si="3"/>
        <v>0</v>
      </c>
    </row>
    <row r="33" spans="2:12" ht="15.75">
      <c r="B33" s="26">
        <v>45627</v>
      </c>
      <c r="C33" s="18" t="s">
        <v>30</v>
      </c>
      <c r="D33" s="10">
        <v>0</v>
      </c>
      <c r="E33" s="11">
        <f t="shared" si="0"/>
        <v>34.828</v>
      </c>
      <c r="F33" s="11">
        <v>0</v>
      </c>
      <c r="G33" s="33">
        <f t="shared" si="1"/>
        <v>0</v>
      </c>
      <c r="H33" s="17" t="s">
        <v>42</v>
      </c>
      <c r="I33" s="10">
        <f>K33</f>
        <v>0</v>
      </c>
      <c r="J33" s="10">
        <f t="shared" si="2"/>
        <v>34.828</v>
      </c>
      <c r="K33" s="10">
        <f>-I32</f>
        <v>0</v>
      </c>
      <c r="L33" s="12">
        <f t="shared" si="3"/>
        <v>0</v>
      </c>
    </row>
    <row r="34" spans="2:12" ht="15.75">
      <c r="B34" s="26">
        <v>45627</v>
      </c>
      <c r="C34" s="18" t="s">
        <v>30</v>
      </c>
      <c r="D34" s="10">
        <v>0</v>
      </c>
      <c r="E34" s="11">
        <f t="shared" si="0"/>
        <v>34.828</v>
      </c>
      <c r="F34" s="11">
        <v>0</v>
      </c>
      <c r="G34" s="33">
        <f t="shared" si="1"/>
        <v>0</v>
      </c>
      <c r="H34" s="17" t="s">
        <v>26</v>
      </c>
      <c r="I34" s="10">
        <v>0</v>
      </c>
      <c r="J34" s="10">
        <f t="shared" si="2"/>
        <v>34.828</v>
      </c>
      <c r="K34" s="10">
        <v>0</v>
      </c>
      <c r="L34" s="12">
        <f t="shared" si="3"/>
        <v>0</v>
      </c>
    </row>
    <row r="35" spans="2:12" ht="15.75">
      <c r="B35" s="26">
        <v>45658</v>
      </c>
      <c r="C35" s="18" t="s">
        <v>26</v>
      </c>
      <c r="D35" s="10">
        <f>D13</f>
        <v>8.707</v>
      </c>
      <c r="E35" s="11">
        <f t="shared" si="0"/>
        <v>43.535000000000004</v>
      </c>
      <c r="F35" s="11">
        <v>0</v>
      </c>
      <c r="G35" s="33">
        <f t="shared" si="1"/>
        <v>0</v>
      </c>
      <c r="H35" s="18" t="s">
        <v>30</v>
      </c>
      <c r="I35" s="10">
        <v>0</v>
      </c>
      <c r="J35" s="10">
        <f t="shared" si="2"/>
        <v>34.828</v>
      </c>
      <c r="K35" s="10">
        <v>0</v>
      </c>
      <c r="L35" s="12">
        <f t="shared" si="3"/>
        <v>0</v>
      </c>
    </row>
    <row r="36" spans="2:12" ht="15.75">
      <c r="B36" s="26">
        <v>45658</v>
      </c>
      <c r="C36" s="18" t="s">
        <v>30</v>
      </c>
      <c r="D36" s="10">
        <v>0</v>
      </c>
      <c r="E36" s="11"/>
      <c r="F36" s="11">
        <v>0</v>
      </c>
      <c r="G36" s="33"/>
      <c r="H36" s="18" t="s">
        <v>77</v>
      </c>
      <c r="I36" s="10">
        <f>D14</f>
        <v>8.707</v>
      </c>
      <c r="J36" s="10">
        <f t="shared" si="2"/>
        <v>43.535000000000004</v>
      </c>
      <c r="K36" s="10">
        <v>0</v>
      </c>
      <c r="L36" s="12">
        <f t="shared" si="3"/>
        <v>0</v>
      </c>
    </row>
    <row r="37" spans="2:12" ht="15.75">
      <c r="B37" s="26">
        <v>45689</v>
      </c>
      <c r="C37" s="18" t="s">
        <v>22</v>
      </c>
      <c r="D37" s="10">
        <v>0</v>
      </c>
      <c r="E37" s="11">
        <f>D37+E35</f>
        <v>43.535000000000004</v>
      </c>
      <c r="F37" s="11">
        <v>0</v>
      </c>
      <c r="G37" s="33">
        <f>F37+G35</f>
        <v>0</v>
      </c>
      <c r="H37" s="18" t="s">
        <v>22</v>
      </c>
      <c r="I37" s="10">
        <v>0</v>
      </c>
      <c r="J37" s="10">
        <f t="shared" si="2"/>
        <v>43.535000000000004</v>
      </c>
      <c r="K37" s="35">
        <v>0</v>
      </c>
      <c r="L37" s="12">
        <f t="shared" si="3"/>
        <v>0</v>
      </c>
    </row>
    <row r="38" spans="2:12" ht="15.75">
      <c r="B38" s="26">
        <v>45717</v>
      </c>
      <c r="C38" s="18" t="s">
        <v>30</v>
      </c>
      <c r="D38" s="10">
        <v>0</v>
      </c>
      <c r="E38" s="11">
        <f t="shared" si="0"/>
        <v>43.535000000000004</v>
      </c>
      <c r="F38" s="11">
        <v>0</v>
      </c>
      <c r="G38" s="33">
        <f t="shared" si="1"/>
        <v>0</v>
      </c>
      <c r="H38" s="17" t="s">
        <v>57</v>
      </c>
      <c r="I38" s="10">
        <f>K38</f>
        <v>0</v>
      </c>
      <c r="J38" s="10">
        <f t="shared" si="2"/>
        <v>43.535000000000004</v>
      </c>
      <c r="K38" s="35">
        <f>-I34</f>
        <v>0</v>
      </c>
      <c r="L38" s="12">
        <f t="shared" si="3"/>
        <v>0</v>
      </c>
    </row>
    <row r="39" spans="2:12" ht="15.75">
      <c r="B39" s="26">
        <v>45717</v>
      </c>
      <c r="C39" s="18" t="s">
        <v>30</v>
      </c>
      <c r="D39" s="10">
        <v>0</v>
      </c>
      <c r="E39" s="11">
        <f t="shared" si="0"/>
        <v>43.535000000000004</v>
      </c>
      <c r="F39" s="11">
        <v>0</v>
      </c>
      <c r="G39" s="33">
        <f t="shared" si="1"/>
        <v>0</v>
      </c>
      <c r="H39" s="17" t="s">
        <v>55</v>
      </c>
      <c r="I39" s="10">
        <v>0</v>
      </c>
      <c r="J39" s="10">
        <f t="shared" si="2"/>
        <v>43.535000000000004</v>
      </c>
      <c r="K39" s="35">
        <v>0</v>
      </c>
      <c r="L39" s="12">
        <f t="shared" si="3"/>
        <v>0</v>
      </c>
    </row>
    <row r="40" spans="2:12" ht="15.75">
      <c r="B40" s="26">
        <v>45778</v>
      </c>
      <c r="C40" s="18" t="s">
        <v>30</v>
      </c>
      <c r="D40" s="10">
        <v>0</v>
      </c>
      <c r="E40" s="11">
        <f t="shared" si="0"/>
        <v>43.535000000000004</v>
      </c>
      <c r="F40" s="11">
        <v>0</v>
      </c>
      <c r="G40" s="33">
        <f t="shared" si="1"/>
        <v>0</v>
      </c>
      <c r="H40" s="17" t="s">
        <v>58</v>
      </c>
      <c r="I40" s="10">
        <f>K40</f>
        <v>0</v>
      </c>
      <c r="J40" s="10">
        <f t="shared" si="2"/>
        <v>43.535000000000004</v>
      </c>
      <c r="K40" s="35">
        <f>-I39</f>
        <v>0</v>
      </c>
      <c r="L40" s="12">
        <f t="shared" si="3"/>
        <v>0</v>
      </c>
    </row>
    <row r="41" spans="2:12" ht="15.75">
      <c r="B41" s="26">
        <v>45809</v>
      </c>
      <c r="C41" s="18" t="s">
        <v>30</v>
      </c>
      <c r="D41" s="10">
        <v>0</v>
      </c>
      <c r="E41" s="11">
        <f t="shared" si="0"/>
        <v>43.535000000000004</v>
      </c>
      <c r="F41" s="11">
        <v>0</v>
      </c>
      <c r="G41" s="33">
        <f t="shared" si="1"/>
        <v>0</v>
      </c>
      <c r="H41" s="17" t="s">
        <v>56</v>
      </c>
      <c r="I41" s="10">
        <v>0</v>
      </c>
      <c r="J41" s="10">
        <f t="shared" si="2"/>
        <v>43.535000000000004</v>
      </c>
      <c r="K41" s="35">
        <v>0</v>
      </c>
      <c r="L41" s="12">
        <f t="shared" si="3"/>
        <v>0</v>
      </c>
    </row>
    <row r="42" spans="2:12" ht="15.75">
      <c r="B42" s="26">
        <v>45839</v>
      </c>
      <c r="C42" s="18" t="s">
        <v>55</v>
      </c>
      <c r="D42" s="10">
        <f>D13</f>
        <v>8.707</v>
      </c>
      <c r="E42" s="11">
        <f t="shared" si="0"/>
        <v>52.242000000000004</v>
      </c>
      <c r="F42" s="11">
        <v>0</v>
      </c>
      <c r="G42" s="33">
        <f t="shared" si="1"/>
        <v>0</v>
      </c>
      <c r="H42" s="18" t="s">
        <v>30</v>
      </c>
      <c r="I42" s="10">
        <v>0</v>
      </c>
      <c r="J42" s="10">
        <f t="shared" si="2"/>
        <v>43.535000000000004</v>
      </c>
      <c r="K42" s="35">
        <v>0</v>
      </c>
      <c r="L42" s="12">
        <f t="shared" si="3"/>
        <v>0</v>
      </c>
    </row>
    <row r="43" spans="2:12" ht="15.75">
      <c r="B43" s="26">
        <v>45839</v>
      </c>
      <c r="C43" s="18" t="s">
        <v>30</v>
      </c>
      <c r="D43" s="10">
        <v>0</v>
      </c>
      <c r="E43" s="11">
        <f t="shared" si="0"/>
        <v>52.242000000000004</v>
      </c>
      <c r="F43" s="11">
        <v>0</v>
      </c>
      <c r="G43" s="33">
        <f t="shared" si="1"/>
        <v>0</v>
      </c>
      <c r="H43" s="17" t="s">
        <v>36</v>
      </c>
      <c r="I43" s="10">
        <v>0</v>
      </c>
      <c r="J43" s="10">
        <f t="shared" si="2"/>
        <v>43.535000000000004</v>
      </c>
      <c r="K43" s="35">
        <v>0</v>
      </c>
      <c r="L43" s="12">
        <f t="shared" si="3"/>
        <v>0</v>
      </c>
    </row>
    <row r="44" spans="2:12" ht="15.75">
      <c r="B44" s="26">
        <v>45901</v>
      </c>
      <c r="C44" s="18" t="s">
        <v>30</v>
      </c>
      <c r="D44" s="10">
        <v>0</v>
      </c>
      <c r="E44" s="11">
        <f t="shared" si="0"/>
        <v>52.242000000000004</v>
      </c>
      <c r="F44" s="11">
        <v>0</v>
      </c>
      <c r="G44" s="33">
        <f t="shared" si="1"/>
        <v>0</v>
      </c>
      <c r="H44" s="36" t="s">
        <v>59</v>
      </c>
      <c r="I44" s="10">
        <f>K44</f>
        <v>0</v>
      </c>
      <c r="J44" s="10">
        <f t="shared" si="2"/>
        <v>43.535000000000004</v>
      </c>
      <c r="K44" s="35">
        <f>-I41</f>
        <v>0</v>
      </c>
      <c r="L44" s="12">
        <f t="shared" si="3"/>
        <v>0</v>
      </c>
    </row>
    <row r="45" spans="2:12" ht="15.75">
      <c r="B45" s="26">
        <v>45901</v>
      </c>
      <c r="C45" s="18" t="s">
        <v>30</v>
      </c>
      <c r="D45" s="10">
        <v>0</v>
      </c>
      <c r="E45" s="11">
        <f t="shared" si="0"/>
        <v>52.242000000000004</v>
      </c>
      <c r="F45" s="11">
        <v>0</v>
      </c>
      <c r="G45" s="33">
        <f t="shared" si="1"/>
        <v>0</v>
      </c>
      <c r="H45" s="36" t="s">
        <v>37</v>
      </c>
      <c r="I45" s="10">
        <f>-I27-I22-I25-I28-I36</f>
        <v>-17.414</v>
      </c>
      <c r="J45" s="10">
        <f t="shared" si="2"/>
        <v>26.121000000000002</v>
      </c>
      <c r="K45" s="35">
        <v>0</v>
      </c>
      <c r="L45" s="12">
        <f t="shared" si="3"/>
        <v>0</v>
      </c>
    </row>
    <row r="46" spans="2:12" ht="15.75">
      <c r="B46" s="26">
        <v>45901</v>
      </c>
      <c r="C46" s="18" t="s">
        <v>30</v>
      </c>
      <c r="D46" s="10">
        <v>0</v>
      </c>
      <c r="E46" s="11">
        <f t="shared" si="0"/>
        <v>52.242000000000004</v>
      </c>
      <c r="F46" s="11">
        <v>0</v>
      </c>
      <c r="G46" s="33">
        <f t="shared" si="1"/>
        <v>0</v>
      </c>
      <c r="H46" s="36" t="s">
        <v>60</v>
      </c>
      <c r="I46" s="10">
        <v>0</v>
      </c>
      <c r="J46" s="10">
        <f t="shared" si="2"/>
        <v>26.121000000000002</v>
      </c>
      <c r="K46" s="35">
        <v>0</v>
      </c>
      <c r="L46" s="12">
        <f t="shared" si="3"/>
        <v>0</v>
      </c>
    </row>
    <row r="47" spans="2:12" ht="15.75">
      <c r="B47" s="26">
        <v>45992</v>
      </c>
      <c r="C47" s="18" t="s">
        <v>30</v>
      </c>
      <c r="D47" s="10">
        <v>0</v>
      </c>
      <c r="E47" s="11">
        <f t="shared" si="0"/>
        <v>52.242000000000004</v>
      </c>
      <c r="F47" s="11">
        <v>0</v>
      </c>
      <c r="G47" s="33">
        <f t="shared" si="1"/>
        <v>0</v>
      </c>
      <c r="H47" s="36" t="s">
        <v>61</v>
      </c>
      <c r="I47" s="10">
        <f>K47</f>
        <v>0</v>
      </c>
      <c r="J47" s="10">
        <f t="shared" si="2"/>
        <v>26.121000000000002</v>
      </c>
      <c r="K47" s="35">
        <f>-I46</f>
        <v>0</v>
      </c>
      <c r="L47" s="12">
        <f t="shared" si="3"/>
        <v>0</v>
      </c>
    </row>
    <row r="48" spans="2:12" ht="15.75">
      <c r="B48" s="26">
        <v>45992</v>
      </c>
      <c r="C48" s="18" t="s">
        <v>30</v>
      </c>
      <c r="D48" s="10">
        <v>0</v>
      </c>
      <c r="E48" s="11">
        <f t="shared" si="0"/>
        <v>52.242000000000004</v>
      </c>
      <c r="F48" s="11">
        <v>0</v>
      </c>
      <c r="G48" s="33">
        <f t="shared" si="1"/>
        <v>0</v>
      </c>
      <c r="H48" s="36" t="s">
        <v>62</v>
      </c>
      <c r="I48" s="10">
        <v>0</v>
      </c>
      <c r="J48" s="10">
        <f t="shared" si="2"/>
        <v>26.121000000000002</v>
      </c>
      <c r="K48" s="35">
        <v>0</v>
      </c>
      <c r="L48" s="12">
        <f t="shared" si="3"/>
        <v>0</v>
      </c>
    </row>
    <row r="49" spans="2:12" ht="15.75">
      <c r="B49" s="26">
        <v>46023</v>
      </c>
      <c r="C49" s="18" t="s">
        <v>56</v>
      </c>
      <c r="D49" s="10">
        <f>D13</f>
        <v>8.707</v>
      </c>
      <c r="E49" s="11">
        <f t="shared" si="0"/>
        <v>60.949000000000005</v>
      </c>
      <c r="F49" s="11">
        <v>0</v>
      </c>
      <c r="G49" s="33">
        <f t="shared" si="1"/>
        <v>0</v>
      </c>
      <c r="H49" s="37" t="s">
        <v>30</v>
      </c>
      <c r="I49" s="10">
        <v>0</v>
      </c>
      <c r="J49" s="10">
        <f t="shared" si="2"/>
        <v>26.121000000000002</v>
      </c>
      <c r="K49" s="35">
        <v>0</v>
      </c>
      <c r="L49" s="12">
        <f t="shared" si="3"/>
        <v>0</v>
      </c>
    </row>
    <row r="50" spans="2:12" ht="15.75">
      <c r="B50" s="26">
        <v>46023</v>
      </c>
      <c r="C50" s="18" t="s">
        <v>30</v>
      </c>
      <c r="D50" s="10">
        <v>0</v>
      </c>
      <c r="E50" s="11"/>
      <c r="F50" s="11">
        <v>0</v>
      </c>
      <c r="G50" s="33"/>
      <c r="H50" s="37" t="s">
        <v>78</v>
      </c>
      <c r="I50" s="10">
        <v>0</v>
      </c>
      <c r="J50" s="10">
        <f t="shared" si="2"/>
        <v>26.121000000000002</v>
      </c>
      <c r="K50" s="35">
        <v>0</v>
      </c>
      <c r="L50" s="12">
        <f t="shared" si="3"/>
        <v>0</v>
      </c>
    </row>
    <row r="51" spans="2:12" ht="15.75">
      <c r="B51" s="26">
        <v>46054</v>
      </c>
      <c r="C51" s="18" t="s">
        <v>76</v>
      </c>
      <c r="D51" s="10">
        <v>0</v>
      </c>
      <c r="E51" s="11">
        <f>D51+E49</f>
        <v>60.949000000000005</v>
      </c>
      <c r="F51" s="11">
        <v>0</v>
      </c>
      <c r="G51" s="33">
        <f>F51+G49</f>
        <v>0</v>
      </c>
      <c r="H51" s="18" t="s">
        <v>76</v>
      </c>
      <c r="I51" s="10">
        <v>0</v>
      </c>
      <c r="J51" s="10">
        <f t="shared" si="2"/>
        <v>26.121000000000002</v>
      </c>
      <c r="K51" s="35">
        <v>0</v>
      </c>
      <c r="L51" s="12">
        <f t="shared" si="3"/>
        <v>0</v>
      </c>
    </row>
    <row r="52" spans="2:12" ht="15.75">
      <c r="B52" s="26">
        <v>46082</v>
      </c>
      <c r="C52" s="18" t="s">
        <v>30</v>
      </c>
      <c r="D52" s="10">
        <v>0</v>
      </c>
      <c r="E52" s="11">
        <f t="shared" si="0"/>
        <v>60.949000000000005</v>
      </c>
      <c r="F52" s="11">
        <v>0</v>
      </c>
      <c r="G52" s="33">
        <f t="shared" si="1"/>
        <v>0</v>
      </c>
      <c r="H52" s="37" t="s">
        <v>74</v>
      </c>
      <c r="I52" s="10">
        <f>K52</f>
        <v>0</v>
      </c>
      <c r="J52" s="10">
        <f t="shared" si="2"/>
        <v>26.121000000000002</v>
      </c>
      <c r="K52" s="10">
        <f>-I48</f>
        <v>0</v>
      </c>
      <c r="L52" s="12">
        <f t="shared" si="3"/>
        <v>0</v>
      </c>
    </row>
    <row r="53" spans="2:12" ht="15.75">
      <c r="B53" s="26">
        <v>46082</v>
      </c>
      <c r="C53" s="18" t="s">
        <v>30</v>
      </c>
      <c r="D53" s="10">
        <v>0</v>
      </c>
      <c r="E53" s="11">
        <f t="shared" si="0"/>
        <v>60.949000000000005</v>
      </c>
      <c r="F53" s="11">
        <v>0</v>
      </c>
      <c r="G53" s="33">
        <f t="shared" si="1"/>
        <v>0</v>
      </c>
      <c r="H53" s="36" t="s">
        <v>63</v>
      </c>
      <c r="I53" s="10">
        <v>0</v>
      </c>
      <c r="J53" s="10">
        <f t="shared" si="2"/>
        <v>26.121000000000002</v>
      </c>
      <c r="K53" s="10">
        <v>0</v>
      </c>
      <c r="L53" s="12">
        <f t="shared" si="3"/>
        <v>0</v>
      </c>
    </row>
    <row r="54" spans="2:12" ht="15.75">
      <c r="B54" s="26">
        <v>46113</v>
      </c>
      <c r="C54" s="17" t="s">
        <v>25</v>
      </c>
      <c r="D54" s="10">
        <v>0</v>
      </c>
      <c r="E54" s="11">
        <f t="shared" si="0"/>
        <v>60.949000000000005</v>
      </c>
      <c r="F54" s="11">
        <v>0</v>
      </c>
      <c r="G54" s="33">
        <f t="shared" si="1"/>
        <v>0</v>
      </c>
      <c r="H54" s="17" t="s">
        <v>25</v>
      </c>
      <c r="I54" s="10">
        <v>0</v>
      </c>
      <c r="J54" s="10">
        <f t="shared" si="2"/>
        <v>26.121000000000002</v>
      </c>
      <c r="K54" s="10">
        <v>0</v>
      </c>
      <c r="L54" s="12">
        <f t="shared" si="3"/>
        <v>0</v>
      </c>
    </row>
    <row r="55" spans="2:12" ht="15.75">
      <c r="B55" s="26">
        <v>46113</v>
      </c>
      <c r="C55" s="17" t="s">
        <v>52</v>
      </c>
      <c r="D55" s="10">
        <v>0</v>
      </c>
      <c r="E55" s="11">
        <f t="shared" si="0"/>
        <v>60.949000000000005</v>
      </c>
      <c r="F55" s="11">
        <v>0</v>
      </c>
      <c r="G55" s="33">
        <f t="shared" si="1"/>
        <v>0</v>
      </c>
      <c r="H55" s="17" t="s">
        <v>52</v>
      </c>
      <c r="I55" s="10">
        <v>0</v>
      </c>
      <c r="J55" s="10">
        <f t="shared" si="2"/>
        <v>26.121000000000002</v>
      </c>
      <c r="K55" s="10">
        <v>0</v>
      </c>
      <c r="L55" s="12">
        <f t="shared" si="3"/>
        <v>0</v>
      </c>
    </row>
    <row r="56" spans="2:12" ht="15.75">
      <c r="B56" s="26">
        <v>46174</v>
      </c>
      <c r="C56" s="18" t="s">
        <v>30</v>
      </c>
      <c r="D56" s="10">
        <v>0</v>
      </c>
      <c r="E56" s="11">
        <f t="shared" si="0"/>
        <v>60.949000000000005</v>
      </c>
      <c r="F56" s="11">
        <v>0</v>
      </c>
      <c r="G56" s="33">
        <f t="shared" si="1"/>
        <v>0</v>
      </c>
      <c r="H56" s="18" t="s">
        <v>54</v>
      </c>
      <c r="I56" s="10">
        <f>-I53</f>
        <v>0</v>
      </c>
      <c r="J56" s="10">
        <f t="shared" si="2"/>
        <v>26.121000000000002</v>
      </c>
      <c r="K56" s="10">
        <v>0</v>
      </c>
      <c r="L56" s="12">
        <f t="shared" si="3"/>
        <v>0</v>
      </c>
    </row>
    <row r="57" spans="2:12" ht="17" thickBot="1">
      <c r="B57" s="27">
        <v>46174</v>
      </c>
      <c r="C57" s="32" t="s">
        <v>53</v>
      </c>
      <c r="D57" s="14">
        <f>-E56</f>
        <v>-60.949000000000005</v>
      </c>
      <c r="E57" s="15">
        <f t="shared" si="0"/>
        <v>0</v>
      </c>
      <c r="F57" s="15">
        <v>0</v>
      </c>
      <c r="G57" s="34">
        <f t="shared" si="1"/>
        <v>0</v>
      </c>
      <c r="H57" s="19" t="s">
        <v>51</v>
      </c>
      <c r="I57" s="14">
        <f>-I18-I19-I21-I24</f>
        <v>-26.121000000000002</v>
      </c>
      <c r="J57" s="14">
        <f t="shared" si="2"/>
        <v>0</v>
      </c>
      <c r="K57" s="14">
        <v>0</v>
      </c>
      <c r="L57" s="16">
        <f t="shared" si="3"/>
        <v>0</v>
      </c>
    </row>
    <row r="58" spans="2:12" ht="15.75">
      <c r="B58" s="4"/>
      <c r="C58" s="17"/>
      <c r="D58" s="9"/>
      <c r="E58" s="9"/>
      <c r="F58" s="9"/>
      <c r="G58" s="9"/>
      <c r="H58" s="17"/>
      <c r="I58" s="9"/>
      <c r="J58" s="9"/>
      <c r="K58" s="9"/>
      <c r="L58" s="20"/>
    </row>
    <row r="59" spans="3:12" ht="15.75">
      <c r="C59" s="17"/>
      <c r="D59" s="9"/>
      <c r="E59" s="9"/>
      <c r="F59" s="9"/>
      <c r="G59" s="9"/>
      <c r="H59" s="17"/>
      <c r="I59" s="9"/>
      <c r="J59" s="9"/>
      <c r="K59" s="9"/>
      <c r="L59" s="20"/>
    </row>
    <row r="60" spans="3:12" ht="15.75">
      <c r="C60" s="17"/>
      <c r="D60" s="21" t="s">
        <v>50</v>
      </c>
      <c r="E60" s="11">
        <f>MAX(E18:E57)</f>
        <v>60.949000000000005</v>
      </c>
      <c r="F60" s="9"/>
      <c r="G60" s="9"/>
      <c r="H60" s="17"/>
      <c r="I60" s="21" t="s">
        <v>27</v>
      </c>
      <c r="J60" s="11">
        <f>MAX(J18:J57)</f>
        <v>43.535000000000004</v>
      </c>
      <c r="K60" s="9"/>
      <c r="L60" s="20"/>
    </row>
    <row r="61" spans="3:12" ht="15.75">
      <c r="C61" s="17"/>
      <c r="D61" s="21" t="s">
        <v>28</v>
      </c>
      <c r="E61" s="22">
        <f>E60/D3</f>
        <v>1.9452636282394997</v>
      </c>
      <c r="F61" s="9"/>
      <c r="G61" s="9"/>
      <c r="H61" s="17"/>
      <c r="I61" s="21" t="s">
        <v>28</v>
      </c>
      <c r="J61" s="22">
        <f>J60/D3</f>
        <v>1.3894740201710711</v>
      </c>
      <c r="K61" s="9"/>
      <c r="L61" s="20"/>
    </row>
    <row r="62" spans="3:12" ht="15.75">
      <c r="C62" s="17"/>
      <c r="D62" s="21" t="s">
        <v>72</v>
      </c>
      <c r="E62" s="11">
        <f>G57</f>
        <v>0</v>
      </c>
      <c r="F62" s="9"/>
      <c r="G62" s="9"/>
      <c r="H62" s="17"/>
      <c r="I62" s="21" t="s">
        <v>72</v>
      </c>
      <c r="J62" s="11">
        <f>-L57</f>
        <v>0</v>
      </c>
      <c r="K62" s="9"/>
      <c r="L62" s="20"/>
    </row>
    <row r="63" spans="3:12" ht="17" thickBot="1">
      <c r="C63" s="19"/>
      <c r="D63" s="23" t="s">
        <v>29</v>
      </c>
      <c r="E63" s="24">
        <f>G57/D3</f>
        <v>0</v>
      </c>
      <c r="F63" s="13"/>
      <c r="G63" s="13"/>
      <c r="H63" s="19"/>
      <c r="I63" s="23" t="s">
        <v>29</v>
      </c>
      <c r="J63" s="24">
        <f>J62/D3</f>
        <v>0</v>
      </c>
      <c r="K63" s="13"/>
      <c r="L63" s="25"/>
    </row>
    <row r="64" spans="8:12" ht="15.75">
      <c r="H64" s="9"/>
      <c r="I64" s="9"/>
      <c r="J64" s="9"/>
      <c r="K64" s="9"/>
      <c r="L64"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Abigail Krich</dc:creator>
  <cp:keywords/>
  <dc:description/>
  <cp:lastModifiedBy>Abigail Krich</cp:lastModifiedBy>
  <dcterms:created xsi:type="dcterms:W3CDTF">2022-04-11T14:34:56Z</dcterms:created>
  <dcterms:modified xsi:type="dcterms:W3CDTF">2022-04-14T02:59:09Z</dcterms:modified>
  <cp:category/>
  <cp:version/>
  <cp:contentType/>
  <cp:contentStatus/>
</cp:coreProperties>
</file>